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 activeTab="19"/>
  </bookViews>
  <sheets>
    <sheet name="27" sheetId="1" r:id="rId1"/>
    <sheet name="37" sheetId="4" r:id="rId2"/>
    <sheet name="38" sheetId="5" r:id="rId3"/>
    <sheet name="40" sheetId="6" r:id="rId4"/>
    <sheet name="42" sheetId="7" r:id="rId5"/>
    <sheet name="45" sheetId="8" r:id="rId6"/>
    <sheet name="48" sheetId="9" r:id="rId7"/>
    <sheet name="50" sheetId="10" r:id="rId8"/>
    <sheet name="55" sheetId="11" r:id="rId9"/>
    <sheet name="61" sheetId="12" r:id="rId10"/>
    <sheet name="76" sheetId="13" r:id="rId11"/>
    <sheet name="КЛ 77" sheetId="14" r:id="rId12"/>
    <sheet name="78" sheetId="15" r:id="rId13"/>
    <sheet name="КТЛ" sheetId="16" r:id="rId14"/>
    <sheet name="83" sheetId="17" r:id="rId15"/>
    <sheet name="110" sheetId="20" r:id="rId16"/>
    <sheet name="116" sheetId="21" r:id="rId17"/>
    <sheet name="117" sheetId="22" r:id="rId18"/>
    <sheet name="1" sheetId="23" r:id="rId19"/>
    <sheet name="Разом" sheetId="25" r:id="rId20"/>
    <sheet name="2" sheetId="24" r:id="rId21"/>
    <sheet name="3" sheetId="18" r:id="rId22"/>
    <sheet name="Лист1" sheetId="26" r:id="rId23"/>
  </sheets>
  <definedNames>
    <definedName name="_xlnm.Print_Area" localSheetId="19">Разом!$A$1:$AQ$38</definedName>
  </definedNames>
  <calcPr calcId="124519"/>
</workbook>
</file>

<file path=xl/calcChain.xml><?xml version="1.0" encoding="utf-8"?>
<calcChain xmlns="http://schemas.openxmlformats.org/spreadsheetml/2006/main">
  <c r="AB21" i="10"/>
  <c r="AB21" i="7"/>
  <c r="AB21" i="6"/>
  <c r="AB21" i="5"/>
  <c r="AB19" i="17"/>
  <c r="AB19" i="12"/>
  <c r="AB19" i="10"/>
  <c r="AB19" i="7"/>
  <c r="AB19" i="5"/>
  <c r="AB19" i="4"/>
  <c r="AB18" i="17"/>
  <c r="AB18" i="14"/>
  <c r="AB18" i="13"/>
  <c r="AB18" i="12"/>
  <c r="AB18" i="10"/>
  <c r="AB18" i="7"/>
  <c r="AB18" i="5"/>
  <c r="AB29" i="12"/>
  <c r="AB29" i="10"/>
  <c r="AB14" i="22"/>
  <c r="AB14" i="21"/>
  <c r="AB14" i="20"/>
  <c r="AB14" i="17"/>
  <c r="AB14" i="16"/>
  <c r="AB14" i="15"/>
  <c r="AB14" i="13"/>
  <c r="AB14" i="12"/>
  <c r="AB14" i="11"/>
  <c r="AB14" i="10"/>
  <c r="AB14" i="9"/>
  <c r="AB14" i="8"/>
  <c r="AB14" i="7"/>
  <c r="AB14" i="1"/>
  <c r="AB14" i="14"/>
  <c r="AB14" i="5"/>
  <c r="AB14" i="4"/>
  <c r="AB9" i="17"/>
  <c r="AB9" i="13"/>
  <c r="Y21" i="10"/>
  <c r="Y21" i="7"/>
  <c r="Y19" i="17"/>
  <c r="Y19" i="12"/>
  <c r="Y19" i="10"/>
  <c r="Y19" i="7"/>
  <c r="Y19" i="5"/>
  <c r="Y18" i="17"/>
  <c r="Y18" i="14"/>
  <c r="Y18" i="12"/>
  <c r="Y18" i="10"/>
  <c r="Y18" i="7"/>
  <c r="Y18" i="5"/>
  <c r="Y29" i="12"/>
  <c r="Y29" i="10"/>
  <c r="Y14" i="22"/>
  <c r="Y14" i="21"/>
  <c r="Y14" i="20"/>
  <c r="Y14" i="17"/>
  <c r="Y14" i="16"/>
  <c r="Y14" i="15"/>
  <c r="Y14" i="14"/>
  <c r="Y14" i="13"/>
  <c r="Y14" i="12"/>
  <c r="Y14" i="11"/>
  <c r="Y14" i="10"/>
  <c r="Y14" i="9"/>
  <c r="Y14" i="8"/>
  <c r="Y14" i="7"/>
  <c r="Y14" i="5"/>
  <c r="Y14" i="4"/>
  <c r="Y14" i="1"/>
  <c r="Y9" i="5"/>
  <c r="V29" i="12"/>
  <c r="V29" i="10"/>
  <c r="V21"/>
  <c r="V21" i="7"/>
  <c r="V19" i="17"/>
  <c r="V19" i="12"/>
  <c r="V19" i="10"/>
  <c r="V19" i="7"/>
  <c r="V19" i="5"/>
  <c r="V18" i="17"/>
  <c r="V18" i="14"/>
  <c r="V18" i="12"/>
  <c r="V18" i="10"/>
  <c r="V18" i="7"/>
  <c r="V18" i="5"/>
  <c r="V14" i="11"/>
  <c r="V14" i="22"/>
  <c r="V14" i="21"/>
  <c r="V14" i="20"/>
  <c r="V14" i="17"/>
  <c r="V14" i="16"/>
  <c r="V14" i="15"/>
  <c r="V14" i="13"/>
  <c r="V14" i="12"/>
  <c r="V14" i="10"/>
  <c r="V14" i="9"/>
  <c r="V14" i="8"/>
  <c r="V14" i="7"/>
  <c r="V14" i="1"/>
  <c r="V14" i="14"/>
  <c r="V14" i="6"/>
  <c r="V14" i="5"/>
  <c r="V14" i="4"/>
  <c r="S21" i="10"/>
  <c r="S21" i="7"/>
  <c r="S19" i="17"/>
  <c r="S19" i="12"/>
  <c r="S19" i="10"/>
  <c r="S19" i="7"/>
  <c r="S19" i="5"/>
  <c r="S19" i="4"/>
  <c r="S18" i="17"/>
  <c r="S18" i="14"/>
  <c r="S18" i="12"/>
  <c r="S18" i="10"/>
  <c r="S18" i="7"/>
  <c r="S29" i="12"/>
  <c r="S29" i="10"/>
  <c r="S14" i="22"/>
  <c r="S14" i="21"/>
  <c r="S14" i="20"/>
  <c r="S14" i="17"/>
  <c r="S14" i="16"/>
  <c r="S14" i="15"/>
  <c r="S14" i="13"/>
  <c r="S14" i="12"/>
  <c r="S14" i="11"/>
  <c r="S14" i="10"/>
  <c r="S14" i="9"/>
  <c r="S14" i="8"/>
  <c r="S14" i="7"/>
  <c r="S14" i="1"/>
  <c r="S14" i="6"/>
  <c r="S14" i="5"/>
  <c r="P21" i="10"/>
  <c r="P21" i="7"/>
  <c r="P29" i="12"/>
  <c r="P29" i="10"/>
  <c r="P14" i="22"/>
  <c r="P14" i="21"/>
  <c r="P14" i="20"/>
  <c r="P14" i="17"/>
  <c r="P14" i="16"/>
  <c r="P14" i="15"/>
  <c r="P14" i="13"/>
  <c r="P14" i="12"/>
  <c r="P14" i="11"/>
  <c r="P14" i="10"/>
  <c r="P14" i="9"/>
  <c r="P14" i="8"/>
  <c r="P14" i="7"/>
  <c r="P14" i="1"/>
  <c r="P14" i="6"/>
  <c r="P14" i="5"/>
  <c r="P14" i="4"/>
  <c r="P19" i="17"/>
  <c r="P19" i="12"/>
  <c r="P19" i="10"/>
  <c r="P19" i="7"/>
  <c r="P19" i="5"/>
  <c r="P19" i="4"/>
  <c r="P18" i="17"/>
  <c r="P18" i="14"/>
  <c r="P18" i="12"/>
  <c r="P18" i="10"/>
  <c r="P18" i="7"/>
  <c r="P18" i="5"/>
  <c r="M21" i="10"/>
  <c r="M21" i="7"/>
  <c r="G29" i="25"/>
  <c r="M29" i="12"/>
  <c r="M29" i="10"/>
  <c r="M14" i="15"/>
  <c r="M14" i="25"/>
  <c r="O16"/>
  <c r="M14" i="21"/>
  <c r="M14" i="20"/>
  <c r="M14" i="17"/>
  <c r="M14" i="16"/>
  <c r="M14" i="14"/>
  <c r="M14" i="13"/>
  <c r="M14" i="12"/>
  <c r="M14" i="11"/>
  <c r="M14" i="10"/>
  <c r="M14" i="9"/>
  <c r="M14" i="8"/>
  <c r="M14" i="7"/>
  <c r="M14" i="6"/>
  <c r="M14" i="5"/>
  <c r="M14" i="1"/>
  <c r="M19" i="17"/>
  <c r="M19" i="12"/>
  <c r="M19" i="10"/>
  <c r="M19" i="7"/>
  <c r="M19" i="5"/>
  <c r="M18" i="14"/>
  <c r="M18" i="12"/>
  <c r="M18" i="10"/>
  <c r="M18" i="7"/>
  <c r="M18" i="5"/>
  <c r="M17" i="12"/>
  <c r="M17" i="10"/>
  <c r="M17" i="9"/>
  <c r="M17" i="7"/>
  <c r="J12" i="25"/>
  <c r="J29" i="12"/>
  <c r="J29" i="10"/>
  <c r="J21"/>
  <c r="J21" i="7"/>
  <c r="J19" i="17"/>
  <c r="J19" i="12"/>
  <c r="J19" i="10"/>
  <c r="J19" i="7"/>
  <c r="J19" i="5"/>
  <c r="J19" i="4"/>
  <c r="J18" i="17"/>
  <c r="J18" i="14"/>
  <c r="J18" i="12"/>
  <c r="J18" i="10"/>
  <c r="J18" i="7"/>
  <c r="J18" i="5"/>
  <c r="J17" i="12"/>
  <c r="J17" i="10"/>
  <c r="J17" i="9"/>
  <c r="J17" i="7"/>
  <c r="J14" i="8"/>
  <c r="J14" i="22"/>
  <c r="J14" i="21"/>
  <c r="J14" i="20"/>
  <c r="J14" i="17"/>
  <c r="J14" i="16"/>
  <c r="J14" i="15"/>
  <c r="J14" i="13"/>
  <c r="J14" i="12"/>
  <c r="J14" i="11"/>
  <c r="J14" i="10"/>
  <c r="J14" i="9"/>
  <c r="J14" i="7"/>
  <c r="J14" i="1"/>
  <c r="J14" i="14"/>
  <c r="J14" i="6"/>
  <c r="J14" i="5"/>
  <c r="G14" i="22"/>
  <c r="G14" i="20"/>
  <c r="G14" i="11"/>
  <c r="G14" i="7"/>
  <c r="G14" i="1"/>
  <c r="G21" i="10"/>
  <c r="G21" i="7"/>
  <c r="G29" i="12"/>
  <c r="G29" i="10"/>
  <c r="G19" i="17"/>
  <c r="G19" i="12"/>
  <c r="G19" i="10"/>
  <c r="G19" i="7"/>
  <c r="G19" i="5"/>
  <c r="G19" i="4"/>
  <c r="G18" i="17"/>
  <c r="G18" i="14"/>
  <c r="G18" i="12"/>
  <c r="G18" i="10"/>
  <c r="G18" i="7"/>
  <c r="G17" i="14"/>
  <c r="G17" i="13"/>
  <c r="G17" i="12"/>
  <c r="G17" i="11"/>
  <c r="G17" i="10"/>
  <c r="G17" i="9"/>
  <c r="G17" i="7"/>
  <c r="G14" i="21"/>
  <c r="G14" i="17"/>
  <c r="G14" i="16"/>
  <c r="G14" i="15"/>
  <c r="G14" i="14"/>
  <c r="G14" i="13"/>
  <c r="G14" i="12"/>
  <c r="G30" s="1"/>
  <c r="G14" i="10"/>
  <c r="G14" i="9"/>
  <c r="G14" i="8"/>
  <c r="G14" i="6"/>
  <c r="G14" i="5"/>
  <c r="D9" i="11"/>
  <c r="D18" i="17"/>
  <c r="D18" i="14"/>
  <c r="D18" i="12"/>
  <c r="D18" i="10"/>
  <c r="D18" i="7"/>
  <c r="P30" i="20"/>
  <c r="P29" i="25"/>
  <c r="G30" i="15"/>
  <c r="G30" i="14"/>
  <c r="M30" i="11"/>
  <c r="J30"/>
  <c r="G30" i="10"/>
  <c r="G30" i="9"/>
  <c r="G30" i="8"/>
  <c r="G30" i="7"/>
  <c r="G30" i="5"/>
  <c r="AK29" i="25"/>
  <c r="AJ29"/>
  <c r="AH29"/>
  <c r="AG29"/>
  <c r="AE29"/>
  <c r="AD29"/>
  <c r="AB29"/>
  <c r="AA29"/>
  <c r="Y29"/>
  <c r="X29"/>
  <c r="V29"/>
  <c r="U29"/>
  <c r="S29"/>
  <c r="R29"/>
  <c r="O29"/>
  <c r="M29"/>
  <c r="L29"/>
  <c r="J29"/>
  <c r="I29"/>
  <c r="F29"/>
  <c r="D29"/>
  <c r="C29"/>
  <c r="E29" s="1"/>
  <c r="AN29" i="22"/>
  <c r="AM29"/>
  <c r="AL29"/>
  <c r="AI29"/>
  <c r="AF29"/>
  <c r="AC29"/>
  <c r="Z29"/>
  <c r="W29"/>
  <c r="T29"/>
  <c r="Q29"/>
  <c r="N29"/>
  <c r="K29"/>
  <c r="H29"/>
  <c r="E29"/>
  <c r="AN29" i="21"/>
  <c r="AM29"/>
  <c r="AL29"/>
  <c r="AI29"/>
  <c r="AF29"/>
  <c r="AC29"/>
  <c r="Z29"/>
  <c r="W29"/>
  <c r="T29"/>
  <c r="Q29"/>
  <c r="N29"/>
  <c r="K29"/>
  <c r="H29"/>
  <c r="E29"/>
  <c r="AN29" i="20"/>
  <c r="AM29"/>
  <c r="AL29"/>
  <c r="AI29"/>
  <c r="AF29"/>
  <c r="AC29"/>
  <c r="Z29"/>
  <c r="W29"/>
  <c r="T29"/>
  <c r="Q29"/>
  <c r="N29"/>
  <c r="K29"/>
  <c r="H29"/>
  <c r="AO29" s="1"/>
  <c r="E29"/>
  <c r="AN29" i="17"/>
  <c r="AM29"/>
  <c r="AL29"/>
  <c r="AI29"/>
  <c r="AF29"/>
  <c r="AC29"/>
  <c r="Z29"/>
  <c r="W29"/>
  <c r="T29"/>
  <c r="Q29"/>
  <c r="N29"/>
  <c r="K29"/>
  <c r="H29"/>
  <c r="E29"/>
  <c r="AM29" i="16"/>
  <c r="AL29"/>
  <c r="AI29"/>
  <c r="AF29"/>
  <c r="AC29"/>
  <c r="Z29"/>
  <c r="W29"/>
  <c r="T29"/>
  <c r="Q29"/>
  <c r="N29"/>
  <c r="K29"/>
  <c r="E29"/>
  <c r="AN29" i="15"/>
  <c r="AM29"/>
  <c r="AL29"/>
  <c r="AI29"/>
  <c r="AF29"/>
  <c r="AC29"/>
  <c r="Z29"/>
  <c r="W29"/>
  <c r="T29"/>
  <c r="Q29"/>
  <c r="N29"/>
  <c r="K29"/>
  <c r="H29"/>
  <c r="E29"/>
  <c r="AN29" i="14"/>
  <c r="AM29"/>
  <c r="AL29"/>
  <c r="AI29"/>
  <c r="AF29"/>
  <c r="AC29"/>
  <c r="Z29"/>
  <c r="W29"/>
  <c r="T29"/>
  <c r="Q29"/>
  <c r="N29"/>
  <c r="K29"/>
  <c r="H29"/>
  <c r="E29"/>
  <c r="AM29" i="13"/>
  <c r="AL29"/>
  <c r="AI29"/>
  <c r="AF29"/>
  <c r="AC29"/>
  <c r="Z29"/>
  <c r="W29"/>
  <c r="T29"/>
  <c r="Q29"/>
  <c r="N29"/>
  <c r="K29"/>
  <c r="E29"/>
  <c r="AN29" i="12"/>
  <c r="AM29"/>
  <c r="AL29"/>
  <c r="AI29"/>
  <c r="AF29"/>
  <c r="AC29"/>
  <c r="Z29"/>
  <c r="W29"/>
  <c r="T29"/>
  <c r="Q29"/>
  <c r="N29"/>
  <c r="K29"/>
  <c r="H29"/>
  <c r="E29"/>
  <c r="AN29" i="11"/>
  <c r="AM29"/>
  <c r="AL29"/>
  <c r="AI29"/>
  <c r="AF29"/>
  <c r="AC29"/>
  <c r="Z29"/>
  <c r="W29"/>
  <c r="T29"/>
  <c r="Q29"/>
  <c r="N29"/>
  <c r="K29"/>
  <c r="H29"/>
  <c r="E29"/>
  <c r="AM29" i="10"/>
  <c r="AL29"/>
  <c r="AI29"/>
  <c r="AF29"/>
  <c r="AC29"/>
  <c r="Z29"/>
  <c r="W29"/>
  <c r="T29"/>
  <c r="Q29"/>
  <c r="N29"/>
  <c r="K29"/>
  <c r="H29"/>
  <c r="E29"/>
  <c r="AN29" i="9"/>
  <c r="AM29"/>
  <c r="AL29"/>
  <c r="AI29"/>
  <c r="AF29"/>
  <c r="AC29"/>
  <c r="Z29"/>
  <c r="W29"/>
  <c r="T29"/>
  <c r="Q29"/>
  <c r="N29"/>
  <c r="K29"/>
  <c r="H29"/>
  <c r="E29"/>
  <c r="AN29" i="8"/>
  <c r="AM29"/>
  <c r="AL29"/>
  <c r="AI29"/>
  <c r="AF29"/>
  <c r="AC29"/>
  <c r="Z29"/>
  <c r="W29"/>
  <c r="T29"/>
  <c r="Q29"/>
  <c r="N29"/>
  <c r="K29"/>
  <c r="H29"/>
  <c r="AN29" i="4"/>
  <c r="AM29"/>
  <c r="AL29"/>
  <c r="AI29"/>
  <c r="AF29"/>
  <c r="AC29"/>
  <c r="Z29"/>
  <c r="W29"/>
  <c r="T29"/>
  <c r="N29"/>
  <c r="K29"/>
  <c r="H29"/>
  <c r="E29"/>
  <c r="E29" i="8"/>
  <c r="AN29" i="7"/>
  <c r="AM29"/>
  <c r="AL29"/>
  <c r="AI29"/>
  <c r="AF29"/>
  <c r="AC29"/>
  <c r="Z29"/>
  <c r="W29"/>
  <c r="T29"/>
  <c r="Q29"/>
  <c r="N29"/>
  <c r="K29"/>
  <c r="H29"/>
  <c r="E29"/>
  <c r="AM29" i="6"/>
  <c r="AL29"/>
  <c r="AI29"/>
  <c r="AF29"/>
  <c r="AC29"/>
  <c r="Z29"/>
  <c r="W29"/>
  <c r="T29"/>
  <c r="Q29"/>
  <c r="N29"/>
  <c r="K29"/>
  <c r="E29"/>
  <c r="AO28" i="5"/>
  <c r="AN28"/>
  <c r="AN29"/>
  <c r="AM28"/>
  <c r="AM29"/>
  <c r="AL28"/>
  <c r="AL29"/>
  <c r="AI28"/>
  <c r="AI29"/>
  <c r="AF28"/>
  <c r="AF29"/>
  <c r="AC28"/>
  <c r="AC29"/>
  <c r="Z28"/>
  <c r="Z29"/>
  <c r="W28"/>
  <c r="W29"/>
  <c r="T28"/>
  <c r="T29"/>
  <c r="Q28"/>
  <c r="Q29"/>
  <c r="N28"/>
  <c r="N29"/>
  <c r="K28"/>
  <c r="K29"/>
  <c r="H28"/>
  <c r="H29"/>
  <c r="E28"/>
  <c r="E29"/>
  <c r="AN23" i="4"/>
  <c r="AM23"/>
  <c r="AL23"/>
  <c r="AI23"/>
  <c r="AF23"/>
  <c r="AC23"/>
  <c r="Q23"/>
  <c r="N23"/>
  <c r="K23"/>
  <c r="H23"/>
  <c r="T23"/>
  <c r="W23"/>
  <c r="Z23"/>
  <c r="AK30" i="1"/>
  <c r="AJ30"/>
  <c r="AH30"/>
  <c r="AG30"/>
  <c r="AE30"/>
  <c r="AD30"/>
  <c r="AB30"/>
  <c r="AA30"/>
  <c r="Y30"/>
  <c r="X30"/>
  <c r="V30"/>
  <c r="U30"/>
  <c r="S30"/>
  <c r="R30"/>
  <c r="P30"/>
  <c r="O30"/>
  <c r="M30"/>
  <c r="L30"/>
  <c r="J30"/>
  <c r="I30"/>
  <c r="G30"/>
  <c r="F30"/>
  <c r="C30"/>
  <c r="D30"/>
  <c r="AN29"/>
  <c r="AM29"/>
  <c r="AL29"/>
  <c r="AI29"/>
  <c r="AF29"/>
  <c r="AC29"/>
  <c r="Z29"/>
  <c r="W29"/>
  <c r="T29"/>
  <c r="Q29"/>
  <c r="N29"/>
  <c r="K29"/>
  <c r="K29" i="25" s="1"/>
  <c r="H29" i="1"/>
  <c r="E29"/>
  <c r="Z14" i="10"/>
  <c r="Z14" i="6"/>
  <c r="AN19" i="4"/>
  <c r="P14" i="25"/>
  <c r="J25"/>
  <c r="J24"/>
  <c r="AM29" l="1"/>
  <c r="AO29" i="5"/>
  <c r="AF29" i="25"/>
  <c r="AC29"/>
  <c r="W29"/>
  <c r="AO23" i="4"/>
  <c r="AL29" i="25"/>
  <c r="AI29"/>
  <c r="AO29" i="22"/>
  <c r="AO29" i="4"/>
  <c r="V14" i="25"/>
  <c r="T29"/>
  <c r="AO29" i="10"/>
  <c r="AN29"/>
  <c r="AO29" i="21"/>
  <c r="AO29" i="17"/>
  <c r="AO29" i="15"/>
  <c r="AO29" i="11"/>
  <c r="AO29" i="9"/>
  <c r="N29" i="25"/>
  <c r="AO29" i="14"/>
  <c r="AO29" i="12"/>
  <c r="AO29" i="8"/>
  <c r="AO29" i="7"/>
  <c r="AO29" i="1"/>
  <c r="E25" i="8"/>
  <c r="H25"/>
  <c r="K25"/>
  <c r="N25"/>
  <c r="Q25"/>
  <c r="T25"/>
  <c r="W25"/>
  <c r="Z25"/>
  <c r="AC25"/>
  <c r="AF25"/>
  <c r="AI25"/>
  <c r="AL25"/>
  <c r="AM25"/>
  <c r="AN25"/>
  <c r="E26"/>
  <c r="H26"/>
  <c r="K26"/>
  <c r="N26"/>
  <c r="Q26"/>
  <c r="T26"/>
  <c r="W26"/>
  <c r="Z26"/>
  <c r="AC26"/>
  <c r="AF26"/>
  <c r="AI26"/>
  <c r="AL26"/>
  <c r="AO26" s="1"/>
  <c r="AM26"/>
  <c r="AN26"/>
  <c r="E27"/>
  <c r="H27"/>
  <c r="K27"/>
  <c r="N27"/>
  <c r="Q27"/>
  <c r="T27"/>
  <c r="W27"/>
  <c r="Z27"/>
  <c r="AC27"/>
  <c r="AF27"/>
  <c r="AI27"/>
  <c r="AL27"/>
  <c r="AO27" s="1"/>
  <c r="AM27"/>
  <c r="AN27"/>
  <c r="E28"/>
  <c r="H28"/>
  <c r="K28"/>
  <c r="N28"/>
  <c r="Q28"/>
  <c r="T28"/>
  <c r="W28"/>
  <c r="Z28"/>
  <c r="AC28"/>
  <c r="AF28"/>
  <c r="AI28"/>
  <c r="AL28"/>
  <c r="AM28"/>
  <c r="AN28"/>
  <c r="E9" i="5"/>
  <c r="H9"/>
  <c r="K9"/>
  <c r="N9"/>
  <c r="Q9"/>
  <c r="T9"/>
  <c r="E10"/>
  <c r="H10"/>
  <c r="K10"/>
  <c r="N10"/>
  <c r="Q10"/>
  <c r="T10"/>
  <c r="E11"/>
  <c r="H11"/>
  <c r="K11"/>
  <c r="N11"/>
  <c r="Q11"/>
  <c r="T11"/>
  <c r="W23" i="1"/>
  <c r="Z23" s="1"/>
  <c r="AC23" s="1"/>
  <c r="AF23" s="1"/>
  <c r="AI23" s="1"/>
  <c r="AL23" s="1"/>
  <c r="AM23" s="1"/>
  <c r="AN23" s="1"/>
  <c r="T23"/>
  <c r="Q23"/>
  <c r="N23"/>
  <c r="K23"/>
  <c r="H23"/>
  <c r="E23"/>
  <c r="E23" i="4"/>
  <c r="E24" i="11"/>
  <c r="F24" s="1"/>
  <c r="G24" s="1"/>
  <c r="G30" s="1"/>
  <c r="D24" i="25"/>
  <c r="C24"/>
  <c r="E24" i="22"/>
  <c r="E24" i="21"/>
  <c r="E23" i="20"/>
  <c r="E24" i="17"/>
  <c r="E24" i="16"/>
  <c r="F24" s="1"/>
  <c r="G24" s="1"/>
  <c r="H24" s="1"/>
  <c r="I24" s="1"/>
  <c r="K24" s="1"/>
  <c r="N24" s="1"/>
  <c r="O24" s="1"/>
  <c r="P24" s="1"/>
  <c r="Q24" s="1"/>
  <c r="R24" s="1"/>
  <c r="S24" s="1"/>
  <c r="T24" s="1"/>
  <c r="U24" s="1"/>
  <c r="V24" s="1"/>
  <c r="W24" s="1"/>
  <c r="X24" s="1"/>
  <c r="Y24" s="1"/>
  <c r="Z24" s="1"/>
  <c r="AA24" s="1"/>
  <c r="AB24" s="1"/>
  <c r="AC24" s="1"/>
  <c r="AD24" s="1"/>
  <c r="AE24" s="1"/>
  <c r="AF24" s="1"/>
  <c r="AG24" s="1"/>
  <c r="AH24" s="1"/>
  <c r="AI24" s="1"/>
  <c r="AJ24" s="1"/>
  <c r="AK24" s="1"/>
  <c r="E24" i="15"/>
  <c r="F24" s="1"/>
  <c r="G24" s="1"/>
  <c r="H24" s="1"/>
  <c r="I24" s="1"/>
  <c r="K24" s="1"/>
  <c r="N24" s="1"/>
  <c r="O24" s="1"/>
  <c r="Q24" s="1"/>
  <c r="T24" s="1"/>
  <c r="U24" s="1"/>
  <c r="V24" s="1"/>
  <c r="W24" s="1"/>
  <c r="X24" s="1"/>
  <c r="Z24" s="1"/>
  <c r="AA24" s="1"/>
  <c r="AB24" s="1"/>
  <c r="AC24" s="1"/>
  <c r="AD24" s="1"/>
  <c r="AE24" s="1"/>
  <c r="AF24" s="1"/>
  <c r="AG24" s="1"/>
  <c r="AH24" s="1"/>
  <c r="AI24" s="1"/>
  <c r="AJ24" s="1"/>
  <c r="AK24" s="1"/>
  <c r="E24" i="14"/>
  <c r="F24" s="1"/>
  <c r="G24" s="1"/>
  <c r="H24" s="1"/>
  <c r="I24" s="1"/>
  <c r="K24" s="1"/>
  <c r="N24" s="1"/>
  <c r="O24" s="1"/>
  <c r="P24" s="1"/>
  <c r="Q24" s="1"/>
  <c r="R24" s="1"/>
  <c r="S24" s="1"/>
  <c r="T24" s="1"/>
  <c r="U24" s="1"/>
  <c r="V24" s="1"/>
  <c r="W24" s="1"/>
  <c r="X24" s="1"/>
  <c r="Z24" s="1"/>
  <c r="AA24" s="1"/>
  <c r="AB24" s="1"/>
  <c r="AC24" s="1"/>
  <c r="AD24" s="1"/>
  <c r="AE24" s="1"/>
  <c r="AF24" s="1"/>
  <c r="AG24" s="1"/>
  <c r="AH24" s="1"/>
  <c r="AI24" s="1"/>
  <c r="AJ24" s="1"/>
  <c r="AK24" s="1"/>
  <c r="E24" i="13"/>
  <c r="F24" s="1"/>
  <c r="G24" s="1"/>
  <c r="H24" s="1"/>
  <c r="I24" s="1"/>
  <c r="K24" s="1"/>
  <c r="N24" s="1"/>
  <c r="O24" s="1"/>
  <c r="P24" s="1"/>
  <c r="Q24" s="1"/>
  <c r="R24" s="1"/>
  <c r="S24" s="1"/>
  <c r="T24" s="1"/>
  <c r="U24" s="1"/>
  <c r="V24" s="1"/>
  <c r="W24" s="1"/>
  <c r="X24" s="1"/>
  <c r="Y24" s="1"/>
  <c r="Z24" s="1"/>
  <c r="AA24" s="1"/>
  <c r="AB24" s="1"/>
  <c r="AC24" s="1"/>
  <c r="AD24" s="1"/>
  <c r="AF24" s="1"/>
  <c r="AI24" s="1"/>
  <c r="AJ24" s="1"/>
  <c r="AK24" s="1"/>
  <c r="E24" i="12"/>
  <c r="F24" s="1"/>
  <c r="G24" s="1"/>
  <c r="H24" s="1"/>
  <c r="I24" s="1"/>
  <c r="K24" s="1"/>
  <c r="N24" s="1"/>
  <c r="O24" s="1"/>
  <c r="P24" s="1"/>
  <c r="Q24" s="1"/>
  <c r="R24" s="1"/>
  <c r="S24" s="1"/>
  <c r="T24" s="1"/>
  <c r="U24" s="1"/>
  <c r="V24" s="1"/>
  <c r="W24" s="1"/>
  <c r="X24" s="1"/>
  <c r="Y24" s="1"/>
  <c r="Z24" s="1"/>
  <c r="AA24" s="1"/>
  <c r="AB24" s="1"/>
  <c r="AC24" s="1"/>
  <c r="AD24" s="1"/>
  <c r="AE24" s="1"/>
  <c r="AF24" s="1"/>
  <c r="AG24" s="1"/>
  <c r="AH24" s="1"/>
  <c r="AI24" s="1"/>
  <c r="AJ24" s="1"/>
  <c r="AK24" s="1"/>
  <c r="AL24" s="1"/>
  <c r="AM24" s="1"/>
  <c r="E24" i="10"/>
  <c r="F24" s="1"/>
  <c r="G24" s="1"/>
  <c r="H24" s="1"/>
  <c r="I24" s="1"/>
  <c r="K24" s="1"/>
  <c r="N24" s="1"/>
  <c r="O24" s="1"/>
  <c r="P24" s="1"/>
  <c r="Q24" s="1"/>
  <c r="R24" s="1"/>
  <c r="S24" s="1"/>
  <c r="T24" s="1"/>
  <c r="U24" s="1"/>
  <c r="V24" s="1"/>
  <c r="W24" s="1"/>
  <c r="X24" s="1"/>
  <c r="Y24" s="1"/>
  <c r="Z24" s="1"/>
  <c r="AA24" s="1"/>
  <c r="AB24" s="1"/>
  <c r="AC24" s="1"/>
  <c r="AD24" s="1"/>
  <c r="AE24" s="1"/>
  <c r="AF24" s="1"/>
  <c r="AG24" s="1"/>
  <c r="AH24" s="1"/>
  <c r="AI24" s="1"/>
  <c r="AJ24" s="1"/>
  <c r="AK24" s="1"/>
  <c r="AL24" s="1"/>
  <c r="AM24" s="1"/>
  <c r="E24" i="9"/>
  <c r="H24" s="1"/>
  <c r="K24" s="1"/>
  <c r="N24" s="1"/>
  <c r="Q24" s="1"/>
  <c r="T24" s="1"/>
  <c r="W24" s="1"/>
  <c r="Z24" s="1"/>
  <c r="AC24" s="1"/>
  <c r="AF24" s="1"/>
  <c r="AI24" s="1"/>
  <c r="AL24" s="1"/>
  <c r="AM24" s="1"/>
  <c r="H24" i="8"/>
  <c r="K24" s="1"/>
  <c r="N24" s="1"/>
  <c r="Q24" s="1"/>
  <c r="T24" s="1"/>
  <c r="W24" s="1"/>
  <c r="Z24" s="1"/>
  <c r="AC24" s="1"/>
  <c r="AF24" s="1"/>
  <c r="AI24" s="1"/>
  <c r="AL24" s="1"/>
  <c r="AM24" s="1"/>
  <c r="E24"/>
  <c r="E24" i="7"/>
  <c r="H24" s="1"/>
  <c r="K24" s="1"/>
  <c r="N24" s="1"/>
  <c r="Q24" s="1"/>
  <c r="T24" s="1"/>
  <c r="W24" s="1"/>
  <c r="Z24" s="1"/>
  <c r="AC24" s="1"/>
  <c r="AF24" s="1"/>
  <c r="AI24" s="1"/>
  <c r="E24" i="6"/>
  <c r="H24" s="1"/>
  <c r="K24" s="1"/>
  <c r="N24" s="1"/>
  <c r="Q24" s="1"/>
  <c r="T24" s="1"/>
  <c r="W24" s="1"/>
  <c r="Z24" s="1"/>
  <c r="AC24" s="1"/>
  <c r="AF24" s="1"/>
  <c r="AI24" s="1"/>
  <c r="E23" i="5"/>
  <c r="H23" s="1"/>
  <c r="K23" s="1"/>
  <c r="N23" s="1"/>
  <c r="Q23" s="1"/>
  <c r="T23" s="1"/>
  <c r="W23" s="1"/>
  <c r="Z23" s="1"/>
  <c r="AC23" s="1"/>
  <c r="AF23" s="1"/>
  <c r="AI23" s="1"/>
  <c r="AL23" s="1"/>
  <c r="AM23" s="1"/>
  <c r="E24" i="4"/>
  <c r="H24" s="1"/>
  <c r="K24" s="1"/>
  <c r="N24" s="1"/>
  <c r="Q24" s="1"/>
  <c r="T24" s="1"/>
  <c r="W24" s="1"/>
  <c r="Z24" s="1"/>
  <c r="AC24" s="1"/>
  <c r="AF24" s="1"/>
  <c r="AI24" s="1"/>
  <c r="H24" i="1"/>
  <c r="K24" s="1"/>
  <c r="E24"/>
  <c r="H22"/>
  <c r="K22"/>
  <c r="N22"/>
  <c r="Q22"/>
  <c r="T22"/>
  <c r="W22"/>
  <c r="Z22"/>
  <c r="AC22"/>
  <c r="AF22"/>
  <c r="AI22"/>
  <c r="AL22"/>
  <c r="AM22"/>
  <c r="AN22"/>
  <c r="H14" i="12"/>
  <c r="AL14" i="17"/>
  <c r="AL14" i="20"/>
  <c r="AN14"/>
  <c r="AI26" i="22"/>
  <c r="AF26"/>
  <c r="AC26"/>
  <c r="Z26"/>
  <c r="W26"/>
  <c r="T26"/>
  <c r="Q26"/>
  <c r="N26"/>
  <c r="K26"/>
  <c r="H26"/>
  <c r="E26"/>
  <c r="AI26" i="21"/>
  <c r="AF26"/>
  <c r="AC26"/>
  <c r="Z26"/>
  <c r="W26"/>
  <c r="T26"/>
  <c r="Q26"/>
  <c r="N26"/>
  <c r="K26"/>
  <c r="H26"/>
  <c r="E26"/>
  <c r="AI25" i="20"/>
  <c r="AF25"/>
  <c r="AC25"/>
  <c r="Z25"/>
  <c r="W25"/>
  <c r="T25"/>
  <c r="Q25"/>
  <c r="N25"/>
  <c r="K25"/>
  <c r="H25"/>
  <c r="E25"/>
  <c r="AL26" i="17"/>
  <c r="AI26"/>
  <c r="AF26"/>
  <c r="AC26"/>
  <c r="Z26"/>
  <c r="W26"/>
  <c r="T26"/>
  <c r="Q26"/>
  <c r="N26"/>
  <c r="K26"/>
  <c r="H26"/>
  <c r="E26"/>
  <c r="T26" i="16"/>
  <c r="Q26"/>
  <c r="N26"/>
  <c r="K26"/>
  <c r="H26"/>
  <c r="E26"/>
  <c r="AM26"/>
  <c r="AL26"/>
  <c r="AI26"/>
  <c r="AF26"/>
  <c r="AC26"/>
  <c r="Z26"/>
  <c r="AI26" i="15"/>
  <c r="AF26"/>
  <c r="AC26"/>
  <c r="Z26"/>
  <c r="W26"/>
  <c r="T26"/>
  <c r="Q26"/>
  <c r="N26"/>
  <c r="K26"/>
  <c r="H26"/>
  <c r="E26"/>
  <c r="AI26" i="13"/>
  <c r="AF26"/>
  <c r="AC26"/>
  <c r="Z26"/>
  <c r="W26"/>
  <c r="T26"/>
  <c r="Q26"/>
  <c r="N26"/>
  <c r="K26"/>
  <c r="H26"/>
  <c r="E26"/>
  <c r="AI26" i="12"/>
  <c r="AF26"/>
  <c r="AC26"/>
  <c r="Z26"/>
  <c r="W26"/>
  <c r="T26"/>
  <c r="Q26"/>
  <c r="N26"/>
  <c r="K26"/>
  <c r="H26"/>
  <c r="E26"/>
  <c r="AI26" i="11"/>
  <c r="AF26"/>
  <c r="AC26"/>
  <c r="Z26"/>
  <c r="W26"/>
  <c r="T26"/>
  <c r="Q26"/>
  <c r="N26"/>
  <c r="K26"/>
  <c r="H26"/>
  <c r="E26"/>
  <c r="AL26" i="10"/>
  <c r="AI26"/>
  <c r="AF26"/>
  <c r="AC26"/>
  <c r="Z26"/>
  <c r="W26"/>
  <c r="T26"/>
  <c r="Q26"/>
  <c r="N26"/>
  <c r="K26"/>
  <c r="H26"/>
  <c r="E26"/>
  <c r="AL26" i="9"/>
  <c r="AI26"/>
  <c r="AF26"/>
  <c r="AC26"/>
  <c r="Z26"/>
  <c r="W26"/>
  <c r="T26"/>
  <c r="Q26"/>
  <c r="N26"/>
  <c r="K26"/>
  <c r="H26"/>
  <c r="E26"/>
  <c r="AL26" i="7"/>
  <c r="AI26"/>
  <c r="AF26"/>
  <c r="AC26"/>
  <c r="Z26"/>
  <c r="W26"/>
  <c r="T26"/>
  <c r="Q26"/>
  <c r="N26"/>
  <c r="K26"/>
  <c r="H26"/>
  <c r="E26"/>
  <c r="AN26" i="6"/>
  <c r="AM26"/>
  <c r="AL26"/>
  <c r="AI26"/>
  <c r="AF26"/>
  <c r="AC26"/>
  <c r="Z26"/>
  <c r="W26"/>
  <c r="T26"/>
  <c r="Q26"/>
  <c r="N26"/>
  <c r="K26"/>
  <c r="H26"/>
  <c r="E26"/>
  <c r="AN25" i="5"/>
  <c r="AM25"/>
  <c r="AL25"/>
  <c r="AI25"/>
  <c r="AF25"/>
  <c r="AC25"/>
  <c r="Z25"/>
  <c r="W25"/>
  <c r="Q25"/>
  <c r="N25"/>
  <c r="K25"/>
  <c r="H25"/>
  <c r="AN26" i="22"/>
  <c r="AM26"/>
  <c r="AL26"/>
  <c r="AN26" i="21"/>
  <c r="AM26"/>
  <c r="AL26"/>
  <c r="AO26" s="1"/>
  <c r="AN25" i="20"/>
  <c r="AM25"/>
  <c r="AL25"/>
  <c r="AO25" s="1"/>
  <c r="AO26" i="17"/>
  <c r="AN26"/>
  <c r="AM26"/>
  <c r="AN26" i="15"/>
  <c r="AM26"/>
  <c r="AL26"/>
  <c r="AO26" s="1"/>
  <c r="AN26" i="13"/>
  <c r="AM26"/>
  <c r="AL26"/>
  <c r="AO26" s="1"/>
  <c r="AN26" i="12"/>
  <c r="AM26"/>
  <c r="AL26"/>
  <c r="AN26" i="11"/>
  <c r="AN26" i="25" s="1"/>
  <c r="AM26" i="11"/>
  <c r="AL26"/>
  <c r="AO26" s="1"/>
  <c r="AN26" i="10"/>
  <c r="AM26"/>
  <c r="AN26" i="9"/>
  <c r="AM26"/>
  <c r="AN26" i="7"/>
  <c r="AM26"/>
  <c r="AN26" i="4"/>
  <c r="AM26"/>
  <c r="AL26"/>
  <c r="AI26"/>
  <c r="AF26"/>
  <c r="AC26"/>
  <c r="Z26"/>
  <c r="W26"/>
  <c r="T26"/>
  <c r="Q26"/>
  <c r="N26"/>
  <c r="K26"/>
  <c r="H26"/>
  <c r="E26"/>
  <c r="E25" i="5"/>
  <c r="T25"/>
  <c r="E26" i="1"/>
  <c r="H26" s="1"/>
  <c r="K26" s="1"/>
  <c r="N26" s="1"/>
  <c r="Q26" s="1"/>
  <c r="T26" s="1"/>
  <c r="W26" s="1"/>
  <c r="Z26" s="1"/>
  <c r="AC26" s="1"/>
  <c r="AF26" s="1"/>
  <c r="AI26" s="1"/>
  <c r="AL26" s="1"/>
  <c r="AM26" s="1"/>
  <c r="AN26" s="1"/>
  <c r="H24" i="22" l="1"/>
  <c r="K24" s="1"/>
  <c r="N24" s="1"/>
  <c r="Q24" s="1"/>
  <c r="T24" s="1"/>
  <c r="W24" s="1"/>
  <c r="Z24" s="1"/>
  <c r="AC24" s="1"/>
  <c r="AF24" s="1"/>
  <c r="AI24" s="1"/>
  <c r="AN24" s="1"/>
  <c r="G30"/>
  <c r="H24" i="21"/>
  <c r="K24" s="1"/>
  <c r="N24" s="1"/>
  <c r="Q24" s="1"/>
  <c r="T24" s="1"/>
  <c r="W24" s="1"/>
  <c r="Z24" s="1"/>
  <c r="AC24" s="1"/>
  <c r="AF24" s="1"/>
  <c r="AI24" s="1"/>
  <c r="AN24" s="1"/>
  <c r="G30"/>
  <c r="H23" i="20"/>
  <c r="K23" s="1"/>
  <c r="N23" s="1"/>
  <c r="Q23" s="1"/>
  <c r="T23" s="1"/>
  <c r="W23" s="1"/>
  <c r="Z23" s="1"/>
  <c r="AC23" s="1"/>
  <c r="AF23" s="1"/>
  <c r="AI23" s="1"/>
  <c r="AN23" s="1"/>
  <c r="AN23" i="25" s="1"/>
  <c r="G30" i="20"/>
  <c r="H24" i="17"/>
  <c r="K24" s="1"/>
  <c r="N24" s="1"/>
  <c r="Q24" s="1"/>
  <c r="T24" s="1"/>
  <c r="W24" s="1"/>
  <c r="Z24" s="1"/>
  <c r="AC24" s="1"/>
  <c r="AF24" s="1"/>
  <c r="AI24" s="1"/>
  <c r="G30"/>
  <c r="AO25" i="8"/>
  <c r="AO23" i="1"/>
  <c r="N24"/>
  <c r="Q24" s="1"/>
  <c r="T24" s="1"/>
  <c r="W24" s="1"/>
  <c r="Z24" s="1"/>
  <c r="AC24" s="1"/>
  <c r="AF24" s="1"/>
  <c r="AI24" s="1"/>
  <c r="AL24" s="1"/>
  <c r="AM24" s="1"/>
  <c r="AO26" i="22"/>
  <c r="AL24"/>
  <c r="AM24" s="1"/>
  <c r="AL24" i="21"/>
  <c r="AM24" s="1"/>
  <c r="AL23" i="20"/>
  <c r="AM23" s="1"/>
  <c r="AL24" i="17"/>
  <c r="AM24" s="1"/>
  <c r="AL24" i="16"/>
  <c r="AM24" s="1"/>
  <c r="AN24"/>
  <c r="AL24" i="15"/>
  <c r="AM24" s="1"/>
  <c r="AN24"/>
  <c r="AL24" i="14"/>
  <c r="AM24" s="1"/>
  <c r="AN24"/>
  <c r="AL24" i="13"/>
  <c r="AM24" s="1"/>
  <c r="AN24"/>
  <c r="AN24" i="12"/>
  <c r="AO26" i="10"/>
  <c r="AN24"/>
  <c r="AN24" i="9"/>
  <c r="AO28" i="8"/>
  <c r="AN24"/>
  <c r="AL24" i="7"/>
  <c r="AM24" s="1"/>
  <c r="AN24"/>
  <c r="AO26"/>
  <c r="AL24" i="6"/>
  <c r="AM24" s="1"/>
  <c r="AN24"/>
  <c r="AO25" i="5"/>
  <c r="E24" i="25"/>
  <c r="AN23" i="5"/>
  <c r="AL24" i="4"/>
  <c r="AM24" s="1"/>
  <c r="AN24"/>
  <c r="F24" i="25"/>
  <c r="AN24" i="1"/>
  <c r="H24" i="11"/>
  <c r="G24" i="25"/>
  <c r="AO24" i="16"/>
  <c r="AO24" i="12"/>
  <c r="AO24" i="10"/>
  <c r="AO24" i="9"/>
  <c r="AO24" i="8"/>
  <c r="AO24" i="7"/>
  <c r="AO23" i="5"/>
  <c r="AO24" i="4"/>
  <c r="AO24" i="1"/>
  <c r="AO24" i="14"/>
  <c r="AO24" i="15"/>
  <c r="AO26" i="12"/>
  <c r="AO26" i="6"/>
  <c r="AO26" i="4"/>
  <c r="AO26" i="25" s="1"/>
  <c r="AO26" i="1"/>
  <c r="AO26" i="9"/>
  <c r="W26" i="16"/>
  <c r="AO26" s="1"/>
  <c r="AN26"/>
  <c r="AN26" i="14"/>
  <c r="E26" i="25"/>
  <c r="AM26" i="14"/>
  <c r="AL26"/>
  <c r="AI26"/>
  <c r="AF26"/>
  <c r="AC26"/>
  <c r="Z26"/>
  <c r="W26"/>
  <c r="T26"/>
  <c r="Q26"/>
  <c r="N26"/>
  <c r="K26"/>
  <c r="H26"/>
  <c r="E26"/>
  <c r="AN18" i="5"/>
  <c r="S21" i="25"/>
  <c r="T9" i="14"/>
  <c r="E14" i="4"/>
  <c r="K14"/>
  <c r="N14"/>
  <c r="K14" i="1"/>
  <c r="N14"/>
  <c r="K14" i="5"/>
  <c r="N14"/>
  <c r="K14" i="6"/>
  <c r="N14"/>
  <c r="K14" i="7"/>
  <c r="N14"/>
  <c r="K14" i="8"/>
  <c r="N14"/>
  <c r="K14" i="9"/>
  <c r="N14"/>
  <c r="K14" i="10"/>
  <c r="N14"/>
  <c r="K14" i="11"/>
  <c r="N14"/>
  <c r="K14" i="12"/>
  <c r="N14"/>
  <c r="K14" i="13"/>
  <c r="N14"/>
  <c r="K14" i="14"/>
  <c r="N14"/>
  <c r="K14" i="15"/>
  <c r="N14"/>
  <c r="K14" i="16"/>
  <c r="N14"/>
  <c r="K14" i="17"/>
  <c r="N14"/>
  <c r="K15" i="18"/>
  <c r="N15"/>
  <c r="K14" i="20"/>
  <c r="N14"/>
  <c r="K14" i="21"/>
  <c r="N14"/>
  <c r="K14" i="22"/>
  <c r="N14"/>
  <c r="N14" i="25" s="1"/>
  <c r="K15" i="23"/>
  <c r="N15"/>
  <c r="K15" i="24"/>
  <c r="N15"/>
  <c r="AN14" i="4"/>
  <c r="AN14" i="1"/>
  <c r="AN14" i="5"/>
  <c r="AN14" i="6"/>
  <c r="AN14" i="7"/>
  <c r="AN14" i="8"/>
  <c r="AN14" i="9"/>
  <c r="AN14" i="10"/>
  <c r="AN14" i="11"/>
  <c r="AN14" i="12"/>
  <c r="AN14" i="13"/>
  <c r="AN14" i="14"/>
  <c r="AN14" i="15"/>
  <c r="AN14" i="16"/>
  <c r="AN14" i="17"/>
  <c r="AN15" i="18"/>
  <c r="AN14" i="21"/>
  <c r="AN14" i="22"/>
  <c r="AN15" i="23"/>
  <c r="AN15" i="24"/>
  <c r="E9" i="1"/>
  <c r="H9"/>
  <c r="K9"/>
  <c r="N9"/>
  <c r="Q9"/>
  <c r="T9"/>
  <c r="W9"/>
  <c r="Z9"/>
  <c r="AC9"/>
  <c r="AF9"/>
  <c r="AI9"/>
  <c r="AL9"/>
  <c r="E10"/>
  <c r="H10"/>
  <c r="K10"/>
  <c r="N10"/>
  <c r="Q10"/>
  <c r="T10"/>
  <c r="W10"/>
  <c r="Z10"/>
  <c r="AC10"/>
  <c r="AF10"/>
  <c r="AI10"/>
  <c r="AL10"/>
  <c r="E11"/>
  <c r="H11"/>
  <c r="K11"/>
  <c r="N11"/>
  <c r="Q11"/>
  <c r="T11"/>
  <c r="W11"/>
  <c r="Z11"/>
  <c r="AC11"/>
  <c r="AF11"/>
  <c r="AI11"/>
  <c r="AL11"/>
  <c r="E12"/>
  <c r="H12"/>
  <c r="K12"/>
  <c r="N12"/>
  <c r="Q12"/>
  <c r="T12"/>
  <c r="W12"/>
  <c r="Z12"/>
  <c r="AC12"/>
  <c r="AF12"/>
  <c r="AI12"/>
  <c r="AL12"/>
  <c r="E13"/>
  <c r="H13"/>
  <c r="K13"/>
  <c r="N13"/>
  <c r="Q13"/>
  <c r="T13"/>
  <c r="W13"/>
  <c r="Z13"/>
  <c r="AC13"/>
  <c r="AF13"/>
  <c r="AI13"/>
  <c r="AL13"/>
  <c r="E14"/>
  <c r="H14"/>
  <c r="Q14"/>
  <c r="T14"/>
  <c r="W14"/>
  <c r="Z14"/>
  <c r="AC14"/>
  <c r="AF14"/>
  <c r="AI14"/>
  <c r="AL14"/>
  <c r="E15"/>
  <c r="H15"/>
  <c r="K15"/>
  <c r="N15"/>
  <c r="Q15"/>
  <c r="T15"/>
  <c r="W15"/>
  <c r="Z15"/>
  <c r="AC15"/>
  <c r="AF15"/>
  <c r="AI15"/>
  <c r="AL15"/>
  <c r="E16"/>
  <c r="H16"/>
  <c r="K16"/>
  <c r="N16"/>
  <c r="Q16"/>
  <c r="T16"/>
  <c r="W16"/>
  <c r="Z16"/>
  <c r="AC16"/>
  <c r="AF16"/>
  <c r="AI16"/>
  <c r="AL16"/>
  <c r="E17"/>
  <c r="H17"/>
  <c r="K17"/>
  <c r="N17"/>
  <c r="Q17"/>
  <c r="T17"/>
  <c r="W17"/>
  <c r="Z17"/>
  <c r="AC17"/>
  <c r="AF17"/>
  <c r="AI17"/>
  <c r="AL17"/>
  <c r="E18"/>
  <c r="H18"/>
  <c r="K18"/>
  <c r="N18"/>
  <c r="Q18"/>
  <c r="T18"/>
  <c r="W18"/>
  <c r="Z18"/>
  <c r="AC18"/>
  <c r="AF18"/>
  <c r="AI18"/>
  <c r="AL18"/>
  <c r="E19"/>
  <c r="H19"/>
  <c r="K19"/>
  <c r="N19"/>
  <c r="Q19"/>
  <c r="T19"/>
  <c r="W19"/>
  <c r="Z19"/>
  <c r="AC19"/>
  <c r="AF19"/>
  <c r="AI19"/>
  <c r="AL19"/>
  <c r="E20"/>
  <c r="H20"/>
  <c r="K20"/>
  <c r="N20"/>
  <c r="Q20"/>
  <c r="T20"/>
  <c r="W20"/>
  <c r="Z20"/>
  <c r="AC20"/>
  <c r="AF20"/>
  <c r="AI20"/>
  <c r="AL20"/>
  <c r="E21"/>
  <c r="H21"/>
  <c r="K21"/>
  <c r="N21"/>
  <c r="Q21"/>
  <c r="T21"/>
  <c r="W21"/>
  <c r="Z21"/>
  <c r="AC21"/>
  <c r="AF21"/>
  <c r="AI21"/>
  <c r="AL21"/>
  <c r="E22"/>
  <c r="E25"/>
  <c r="H25"/>
  <c r="K25"/>
  <c r="N25"/>
  <c r="Q25"/>
  <c r="T25"/>
  <c r="W25"/>
  <c r="Z25"/>
  <c r="AC25"/>
  <c r="AF25"/>
  <c r="AI25"/>
  <c r="AL25"/>
  <c r="E27"/>
  <c r="H27"/>
  <c r="K27"/>
  <c r="N27"/>
  <c r="Q27"/>
  <c r="T27"/>
  <c r="W27"/>
  <c r="Z27"/>
  <c r="AC27"/>
  <c r="AF27"/>
  <c r="AI27"/>
  <c r="AL27"/>
  <c r="E28"/>
  <c r="H28"/>
  <c r="K28"/>
  <c r="N28"/>
  <c r="Q28"/>
  <c r="T28"/>
  <c r="W28"/>
  <c r="Z28"/>
  <c r="AC28"/>
  <c r="AF28"/>
  <c r="AI28"/>
  <c r="AL28"/>
  <c r="AN21"/>
  <c r="AL21" i="14"/>
  <c r="AK14" i="25"/>
  <c r="AN12" i="12"/>
  <c r="P10" i="25"/>
  <c r="AN11" i="1"/>
  <c r="AN10" i="23"/>
  <c r="AM27" i="24"/>
  <c r="AL27"/>
  <c r="AI27"/>
  <c r="AF27"/>
  <c r="Z27"/>
  <c r="W27"/>
  <c r="T27"/>
  <c r="Q27"/>
  <c r="N27"/>
  <c r="K27"/>
  <c r="H27"/>
  <c r="E27"/>
  <c r="AM27" i="23"/>
  <c r="AL27"/>
  <c r="AI27"/>
  <c r="AF27"/>
  <c r="Z27"/>
  <c r="W27"/>
  <c r="T27"/>
  <c r="Q27"/>
  <c r="N27"/>
  <c r="K27"/>
  <c r="H27"/>
  <c r="E27"/>
  <c r="AM28" i="20"/>
  <c r="AL28"/>
  <c r="AI28"/>
  <c r="AF28"/>
  <c r="Z28"/>
  <c r="Z29" i="25" s="1"/>
  <c r="W28" i="20"/>
  <c r="T28"/>
  <c r="Q28"/>
  <c r="N28"/>
  <c r="K28"/>
  <c r="H28"/>
  <c r="E28"/>
  <c r="AM27" i="18"/>
  <c r="AL27"/>
  <c r="AI27"/>
  <c r="AF27"/>
  <c r="Z27"/>
  <c r="W27"/>
  <c r="T27"/>
  <c r="Q27"/>
  <c r="N27"/>
  <c r="K27"/>
  <c r="H27"/>
  <c r="E27"/>
  <c r="AI28" i="13"/>
  <c r="M12" i="25"/>
  <c r="J14"/>
  <c r="AN11" i="24"/>
  <c r="AM11"/>
  <c r="AC19"/>
  <c r="AC20"/>
  <c r="AN22" i="8"/>
  <c r="AF16" i="24"/>
  <c r="AI22" i="23"/>
  <c r="AN10" i="12"/>
  <c r="AF10"/>
  <c r="Z18" i="17"/>
  <c r="Z19"/>
  <c r="W19" i="15"/>
  <c r="AI18"/>
  <c r="AI19"/>
  <c r="W16" i="21"/>
  <c r="W21" i="15"/>
  <c r="Q20" i="23"/>
  <c r="Q21"/>
  <c r="Q22"/>
  <c r="Q19" i="17"/>
  <c r="Q19" i="16"/>
  <c r="Q18" i="17"/>
  <c r="Q18" i="16"/>
  <c r="E10" i="17"/>
  <c r="AM10" i="23"/>
  <c r="H22" i="11"/>
  <c r="AN22" i="10"/>
  <c r="AN22" i="7"/>
  <c r="AN19" i="12"/>
  <c r="AM22" i="22"/>
  <c r="T9" i="21"/>
  <c r="T10"/>
  <c r="T11"/>
  <c r="T12"/>
  <c r="T13"/>
  <c r="T14"/>
  <c r="T15"/>
  <c r="T16"/>
  <c r="T17"/>
  <c r="T18"/>
  <c r="AN21" i="9"/>
  <c r="I30" i="4"/>
  <c r="J30"/>
  <c r="AL11" i="24"/>
  <c r="AL12"/>
  <c r="AL13"/>
  <c r="AL14"/>
  <c r="AL15"/>
  <c r="AL16"/>
  <c r="AL17"/>
  <c r="AL18"/>
  <c r="AL19"/>
  <c r="AL20"/>
  <c r="AL21"/>
  <c r="AL22"/>
  <c r="AL23"/>
  <c r="AL24"/>
  <c r="AL25"/>
  <c r="AL26"/>
  <c r="AL10"/>
  <c r="AL11" i="23"/>
  <c r="AL12"/>
  <c r="AL13"/>
  <c r="AL14"/>
  <c r="AL15"/>
  <c r="AL16"/>
  <c r="AL17"/>
  <c r="AL18"/>
  <c r="AL19"/>
  <c r="AL20"/>
  <c r="AL21"/>
  <c r="AL22"/>
  <c r="AL23"/>
  <c r="AL24"/>
  <c r="AL25"/>
  <c r="AL26"/>
  <c r="AL10"/>
  <c r="AL10" i="22"/>
  <c r="AL11"/>
  <c r="AL12"/>
  <c r="AL13"/>
  <c r="AL14"/>
  <c r="AL15"/>
  <c r="AL16"/>
  <c r="AL17"/>
  <c r="AL18"/>
  <c r="AL19"/>
  <c r="AL20"/>
  <c r="AL21"/>
  <c r="AL22"/>
  <c r="AL25"/>
  <c r="AL27"/>
  <c r="AL28"/>
  <c r="AL9"/>
  <c r="AL10" i="20"/>
  <c r="AL11"/>
  <c r="AL12"/>
  <c r="AL13"/>
  <c r="AL15"/>
  <c r="AL16"/>
  <c r="AL17"/>
  <c r="AL18"/>
  <c r="AL19"/>
  <c r="AL20"/>
  <c r="AL21"/>
  <c r="AL22"/>
  <c r="AL24"/>
  <c r="AL26"/>
  <c r="AL27"/>
  <c r="AL9"/>
  <c r="AL11" i="18"/>
  <c r="AL12"/>
  <c r="AL13"/>
  <c r="AL14"/>
  <c r="AL15"/>
  <c r="AL16"/>
  <c r="AL17"/>
  <c r="AL18"/>
  <c r="AL19"/>
  <c r="AL20"/>
  <c r="AL21"/>
  <c r="AL22"/>
  <c r="AL23"/>
  <c r="AL24"/>
  <c r="AL25"/>
  <c r="AL26"/>
  <c r="AL10"/>
  <c r="AL10" i="17"/>
  <c r="AL11"/>
  <c r="AL12"/>
  <c r="AL13"/>
  <c r="AL15"/>
  <c r="AL16"/>
  <c r="AL17"/>
  <c r="AL18"/>
  <c r="AL19"/>
  <c r="AL20"/>
  <c r="AL21"/>
  <c r="AL22"/>
  <c r="AL25"/>
  <c r="AL27"/>
  <c r="AL28"/>
  <c r="AL9"/>
  <c r="AL10" i="16"/>
  <c r="AL11"/>
  <c r="AL12"/>
  <c r="AL13"/>
  <c r="AL14"/>
  <c r="AL15"/>
  <c r="AL16"/>
  <c r="AL17"/>
  <c r="AL18"/>
  <c r="AL19"/>
  <c r="AL20"/>
  <c r="AL21"/>
  <c r="AL22"/>
  <c r="AL25"/>
  <c r="AL27"/>
  <c r="AL28"/>
  <c r="AL9"/>
  <c r="AL10" i="15"/>
  <c r="AL11"/>
  <c r="AL12"/>
  <c r="AL13"/>
  <c r="AL14"/>
  <c r="AL15"/>
  <c r="AL16"/>
  <c r="AL17"/>
  <c r="AL18"/>
  <c r="AL19"/>
  <c r="AL20"/>
  <c r="AL21"/>
  <c r="AL22"/>
  <c r="AL25"/>
  <c r="AL27"/>
  <c r="AL28"/>
  <c r="AL9"/>
  <c r="AL10" i="14"/>
  <c r="AL11"/>
  <c r="AL12"/>
  <c r="AL13"/>
  <c r="AL14"/>
  <c r="AL15"/>
  <c r="AL16"/>
  <c r="AL17"/>
  <c r="AL18"/>
  <c r="AL19"/>
  <c r="AL20"/>
  <c r="AL22"/>
  <c r="AL25"/>
  <c r="AL27"/>
  <c r="AL28"/>
  <c r="AL9"/>
  <c r="AL10" i="13"/>
  <c r="AL11"/>
  <c r="AL12"/>
  <c r="AL13"/>
  <c r="AL14"/>
  <c r="AL15"/>
  <c r="AL16"/>
  <c r="AL17"/>
  <c r="AL18"/>
  <c r="AL19"/>
  <c r="AL20"/>
  <c r="AL21"/>
  <c r="AL22"/>
  <c r="AL25"/>
  <c r="AL27"/>
  <c r="AL28"/>
  <c r="AL9"/>
  <c r="AN11" i="12"/>
  <c r="AL10"/>
  <c r="AL11"/>
  <c r="AL12"/>
  <c r="AL13"/>
  <c r="AL14"/>
  <c r="AL15"/>
  <c r="AL16"/>
  <c r="AL17"/>
  <c r="AL18"/>
  <c r="AL19"/>
  <c r="AL20"/>
  <c r="AL21"/>
  <c r="AL22"/>
  <c r="AL25"/>
  <c r="AL27"/>
  <c r="AL28"/>
  <c r="AL9"/>
  <c r="AL10" i="11"/>
  <c r="AL11"/>
  <c r="AL12"/>
  <c r="AL13"/>
  <c r="AL14"/>
  <c r="AL15"/>
  <c r="AL16"/>
  <c r="AL17"/>
  <c r="AL18"/>
  <c r="AL19"/>
  <c r="AL20"/>
  <c r="AL21"/>
  <c r="AL22"/>
  <c r="AL25"/>
  <c r="AL27"/>
  <c r="AL28"/>
  <c r="AL9"/>
  <c r="AL10" i="10"/>
  <c r="AL11"/>
  <c r="AL12"/>
  <c r="AL13"/>
  <c r="AL14"/>
  <c r="AL15"/>
  <c r="AL16"/>
  <c r="AL17"/>
  <c r="AL18"/>
  <c r="AL19"/>
  <c r="AL20"/>
  <c r="AL21"/>
  <c r="AL22"/>
  <c r="AL25"/>
  <c r="AL27"/>
  <c r="AL28"/>
  <c r="AL9"/>
  <c r="AL10" i="9"/>
  <c r="AL11"/>
  <c r="AL12"/>
  <c r="AL13"/>
  <c r="AL14"/>
  <c r="AL15"/>
  <c r="AL16"/>
  <c r="AL17"/>
  <c r="AL18"/>
  <c r="AL19"/>
  <c r="AL20"/>
  <c r="AL21"/>
  <c r="AL22"/>
  <c r="AL25"/>
  <c r="AL27"/>
  <c r="AL28"/>
  <c r="AL9"/>
  <c r="AL10" i="8"/>
  <c r="AL11"/>
  <c r="AL12"/>
  <c r="AL13"/>
  <c r="AL14"/>
  <c r="AL15"/>
  <c r="AL16"/>
  <c r="AL17"/>
  <c r="AL18"/>
  <c r="AL19"/>
  <c r="AL20"/>
  <c r="AL21"/>
  <c r="AL22"/>
  <c r="AL9"/>
  <c r="AL10" i="7"/>
  <c r="AL11"/>
  <c r="AL12"/>
  <c r="AL13"/>
  <c r="AL14"/>
  <c r="AL15"/>
  <c r="AL16"/>
  <c r="AL17"/>
  <c r="AL18"/>
  <c r="AL19"/>
  <c r="AL20"/>
  <c r="AL21"/>
  <c r="AL22"/>
  <c r="AL25"/>
  <c r="AL27"/>
  <c r="AL28"/>
  <c r="AL9"/>
  <c r="AL10" i="6"/>
  <c r="AL11"/>
  <c r="AL12"/>
  <c r="AL13"/>
  <c r="AL14"/>
  <c r="AL15"/>
  <c r="AL16"/>
  <c r="AL17"/>
  <c r="AL18"/>
  <c r="AL19"/>
  <c r="AL20"/>
  <c r="AL21"/>
  <c r="AL22"/>
  <c r="AL25"/>
  <c r="AL27"/>
  <c r="AL28"/>
  <c r="AL9"/>
  <c r="AL10" i="5"/>
  <c r="AL11"/>
  <c r="AL12"/>
  <c r="AL13"/>
  <c r="AL14"/>
  <c r="AL15"/>
  <c r="AL16"/>
  <c r="AL17"/>
  <c r="AL18"/>
  <c r="AL19"/>
  <c r="AL20"/>
  <c r="AL21"/>
  <c r="AL22"/>
  <c r="AL24"/>
  <c r="AL26"/>
  <c r="AL27"/>
  <c r="AL9"/>
  <c r="AL10" i="4"/>
  <c r="AL11"/>
  <c r="AL12"/>
  <c r="AL13"/>
  <c r="AL14"/>
  <c r="AL15"/>
  <c r="AL16"/>
  <c r="AL17"/>
  <c r="AL18"/>
  <c r="AL19"/>
  <c r="AL20"/>
  <c r="AL21"/>
  <c r="AL22"/>
  <c r="AL25"/>
  <c r="AL27"/>
  <c r="AL28"/>
  <c r="AL9"/>
  <c r="AI9"/>
  <c r="AI10" i="7"/>
  <c r="AI11"/>
  <c r="AI12"/>
  <c r="AI13"/>
  <c r="AI14"/>
  <c r="AI15"/>
  <c r="AI16"/>
  <c r="AI17"/>
  <c r="AI18"/>
  <c r="AI19"/>
  <c r="AI20"/>
  <c r="AI21"/>
  <c r="AI22"/>
  <c r="AI25"/>
  <c r="AI27"/>
  <c r="AI28"/>
  <c r="AI11" i="24"/>
  <c r="AI12"/>
  <c r="AI13"/>
  <c r="AI14"/>
  <c r="AI15"/>
  <c r="AI16"/>
  <c r="AI17"/>
  <c r="AI18"/>
  <c r="AI19"/>
  <c r="AI20"/>
  <c r="AI21"/>
  <c r="AI22"/>
  <c r="AI23"/>
  <c r="AI24"/>
  <c r="AI25"/>
  <c r="AI26"/>
  <c r="AI10"/>
  <c r="AI11" i="23"/>
  <c r="AI12"/>
  <c r="AI13"/>
  <c r="AI14"/>
  <c r="AI15"/>
  <c r="AI16"/>
  <c r="AI17"/>
  <c r="AI18"/>
  <c r="AI19"/>
  <c r="AI20"/>
  <c r="AI23"/>
  <c r="AI24"/>
  <c r="AI25"/>
  <c r="AI26"/>
  <c r="AI10"/>
  <c r="AI10" i="22"/>
  <c r="AI11"/>
  <c r="AI12"/>
  <c r="AI13"/>
  <c r="AI14"/>
  <c r="AI15"/>
  <c r="AI16"/>
  <c r="AI17"/>
  <c r="AI18"/>
  <c r="AI19"/>
  <c r="AI20"/>
  <c r="AI21"/>
  <c r="AI22"/>
  <c r="AI25"/>
  <c r="AI27"/>
  <c r="AI28"/>
  <c r="AI9"/>
  <c r="AI10" i="21"/>
  <c r="AI11"/>
  <c r="AI12"/>
  <c r="AI13"/>
  <c r="AI14"/>
  <c r="AI15"/>
  <c r="AI16"/>
  <c r="AI17"/>
  <c r="AI18"/>
  <c r="AI19"/>
  <c r="AI20"/>
  <c r="AI21"/>
  <c r="AI22"/>
  <c r="AI25"/>
  <c r="AI27"/>
  <c r="AI28"/>
  <c r="AI9"/>
  <c r="AI10" i="20"/>
  <c r="AI11"/>
  <c r="AI12"/>
  <c r="AI13"/>
  <c r="AI14"/>
  <c r="AI15"/>
  <c r="AI16"/>
  <c r="AI17"/>
  <c r="AI18"/>
  <c r="AI19"/>
  <c r="AI20"/>
  <c r="AI21"/>
  <c r="AI22"/>
  <c r="AI24"/>
  <c r="AI26"/>
  <c r="AI27"/>
  <c r="AI9"/>
  <c r="AI11" i="18"/>
  <c r="AI12"/>
  <c r="AI13"/>
  <c r="AI14"/>
  <c r="AI15"/>
  <c r="AI16"/>
  <c r="AI17"/>
  <c r="AI18"/>
  <c r="AI19"/>
  <c r="AI20"/>
  <c r="AI21"/>
  <c r="AI22"/>
  <c r="AI23"/>
  <c r="AI24"/>
  <c r="AI25"/>
  <c r="AI26"/>
  <c r="AI10"/>
  <c r="AI10" i="17"/>
  <c r="AI11"/>
  <c r="AI12"/>
  <c r="AI13"/>
  <c r="AI14"/>
  <c r="AI15"/>
  <c r="AI16"/>
  <c r="AI17"/>
  <c r="AI18"/>
  <c r="AI19"/>
  <c r="AI20"/>
  <c r="AI21"/>
  <c r="AI22"/>
  <c r="AI25"/>
  <c r="AI27"/>
  <c r="AI28"/>
  <c r="AI9"/>
  <c r="AI10" i="16"/>
  <c r="AI11"/>
  <c r="AI12"/>
  <c r="AI13"/>
  <c r="AI14"/>
  <c r="AI15"/>
  <c r="AI16"/>
  <c r="AI17"/>
  <c r="AI18"/>
  <c r="AI19"/>
  <c r="AI20"/>
  <c r="AI21"/>
  <c r="AI22"/>
  <c r="AI25"/>
  <c r="AI27"/>
  <c r="AI28"/>
  <c r="AI9"/>
  <c r="AI10" i="15"/>
  <c r="AI11"/>
  <c r="AI12"/>
  <c r="AI13"/>
  <c r="AI14"/>
  <c r="AI15"/>
  <c r="AI16"/>
  <c r="AI17"/>
  <c r="AI20"/>
  <c r="AI21"/>
  <c r="AI22"/>
  <c r="AI25"/>
  <c r="AI27"/>
  <c r="AI28"/>
  <c r="AI9"/>
  <c r="AI10" i="14"/>
  <c r="AI11"/>
  <c r="AI12"/>
  <c r="AI13"/>
  <c r="AI14"/>
  <c r="AI15"/>
  <c r="AI16"/>
  <c r="AI17"/>
  <c r="AI18"/>
  <c r="AI19"/>
  <c r="AI20"/>
  <c r="AI21"/>
  <c r="AI22"/>
  <c r="AI25"/>
  <c r="AI27"/>
  <c r="AI28"/>
  <c r="AI9"/>
  <c r="AI10" i="13"/>
  <c r="AI11"/>
  <c r="AI12"/>
  <c r="AI13"/>
  <c r="AI14"/>
  <c r="AI15"/>
  <c r="AI16"/>
  <c r="AI17"/>
  <c r="AI18"/>
  <c r="AI19"/>
  <c r="AI20"/>
  <c r="AI21"/>
  <c r="AI22"/>
  <c r="AI25"/>
  <c r="AI27"/>
  <c r="AI9"/>
  <c r="AI10" i="12"/>
  <c r="AI11"/>
  <c r="AI12"/>
  <c r="AI13"/>
  <c r="AI14"/>
  <c r="AI15"/>
  <c r="AI16"/>
  <c r="AI17"/>
  <c r="AI18"/>
  <c r="AI19"/>
  <c r="AI20"/>
  <c r="AI21"/>
  <c r="AI22"/>
  <c r="AI25"/>
  <c r="AI27"/>
  <c r="AI28"/>
  <c r="AI9"/>
  <c r="AI10" i="11"/>
  <c r="AI11"/>
  <c r="AI12"/>
  <c r="AI13"/>
  <c r="AI14"/>
  <c r="AI15"/>
  <c r="AI16"/>
  <c r="AI17"/>
  <c r="AI18"/>
  <c r="AI19"/>
  <c r="AI20"/>
  <c r="AI21"/>
  <c r="AI22"/>
  <c r="AI25"/>
  <c r="AI27"/>
  <c r="AI28"/>
  <c r="AI9"/>
  <c r="AI10" i="10"/>
  <c r="AI11"/>
  <c r="AI12"/>
  <c r="AI13"/>
  <c r="AI14"/>
  <c r="AI15"/>
  <c r="AI16"/>
  <c r="AI17"/>
  <c r="AI18"/>
  <c r="AI19"/>
  <c r="AI20"/>
  <c r="AI21"/>
  <c r="AI22"/>
  <c r="AI25"/>
  <c r="AI27"/>
  <c r="AI28"/>
  <c r="AI9"/>
  <c r="AI10" i="9"/>
  <c r="AI11"/>
  <c r="AI12"/>
  <c r="AI13"/>
  <c r="AI14"/>
  <c r="AI15"/>
  <c r="AI16"/>
  <c r="AI17"/>
  <c r="AI18"/>
  <c r="AI19"/>
  <c r="AI20"/>
  <c r="AI21"/>
  <c r="AI22"/>
  <c r="AI25"/>
  <c r="AI27"/>
  <c r="AI28"/>
  <c r="AI9"/>
  <c r="AI10" i="8"/>
  <c r="AI11"/>
  <c r="AI12"/>
  <c r="AI13"/>
  <c r="AI14"/>
  <c r="AI15"/>
  <c r="AI16"/>
  <c r="AI17"/>
  <c r="AI18"/>
  <c r="AI19"/>
  <c r="AI20"/>
  <c r="AI21"/>
  <c r="AI22"/>
  <c r="AI9"/>
  <c r="AI9" i="7"/>
  <c r="AI10" i="6"/>
  <c r="AI11"/>
  <c r="AI12"/>
  <c r="AI13"/>
  <c r="AI14"/>
  <c r="AI15"/>
  <c r="AI16"/>
  <c r="AI17"/>
  <c r="AI18"/>
  <c r="AI19"/>
  <c r="AI20"/>
  <c r="AI21"/>
  <c r="AI22"/>
  <c r="AI25"/>
  <c r="AI27"/>
  <c r="AI28"/>
  <c r="AI9"/>
  <c r="AI10" i="5"/>
  <c r="AI11"/>
  <c r="AI12"/>
  <c r="AI13"/>
  <c r="AI14"/>
  <c r="AI15"/>
  <c r="AI16"/>
  <c r="AI17"/>
  <c r="AI18"/>
  <c r="AI19"/>
  <c r="AI20"/>
  <c r="AI21"/>
  <c r="AI22"/>
  <c r="AI24"/>
  <c r="AI26"/>
  <c r="AI27"/>
  <c r="AI9"/>
  <c r="AI10" i="4"/>
  <c r="AI11"/>
  <c r="AI12"/>
  <c r="AI13"/>
  <c r="AI14"/>
  <c r="AI15"/>
  <c r="AI16"/>
  <c r="AI17"/>
  <c r="AI18"/>
  <c r="AI19"/>
  <c r="AI20"/>
  <c r="AI21"/>
  <c r="AI22"/>
  <c r="AI25"/>
  <c r="AI27"/>
  <c r="AI28"/>
  <c r="AF10" i="6"/>
  <c r="AF11"/>
  <c r="AF12"/>
  <c r="AF13"/>
  <c r="AF14"/>
  <c r="AF15"/>
  <c r="AF16"/>
  <c r="AF17"/>
  <c r="AF18"/>
  <c r="AF19"/>
  <c r="AF20"/>
  <c r="AF21"/>
  <c r="AF22"/>
  <c r="AF25"/>
  <c r="AF27"/>
  <c r="AF28"/>
  <c r="AF9"/>
  <c r="AH12" i="25"/>
  <c r="AF11" i="24"/>
  <c r="AF12"/>
  <c r="AF13"/>
  <c r="AF14"/>
  <c r="AF15"/>
  <c r="AF17"/>
  <c r="AF18"/>
  <c r="AF19"/>
  <c r="AF20"/>
  <c r="AF21"/>
  <c r="AF22"/>
  <c r="AF23"/>
  <c r="AF24"/>
  <c r="AF25"/>
  <c r="AF26"/>
  <c r="AF10"/>
  <c r="AF11" i="23"/>
  <c r="AF12"/>
  <c r="AF13"/>
  <c r="AF14"/>
  <c r="AF15"/>
  <c r="AF16"/>
  <c r="AF17"/>
  <c r="AF18"/>
  <c r="AF19"/>
  <c r="AF20"/>
  <c r="AF21"/>
  <c r="AF22"/>
  <c r="AF23"/>
  <c r="AF24"/>
  <c r="AF25"/>
  <c r="AF26"/>
  <c r="AF10"/>
  <c r="AF10" i="22"/>
  <c r="AF11"/>
  <c r="AF12"/>
  <c r="AF13"/>
  <c r="AF14"/>
  <c r="AF15"/>
  <c r="AF16"/>
  <c r="AF17"/>
  <c r="AF18"/>
  <c r="AF19"/>
  <c r="AF20"/>
  <c r="AF21"/>
  <c r="AF22"/>
  <c r="AF25"/>
  <c r="AF27"/>
  <c r="AF28"/>
  <c r="AF9"/>
  <c r="AF10" i="21"/>
  <c r="AF11"/>
  <c r="AF12"/>
  <c r="AF13"/>
  <c r="AF14"/>
  <c r="AF15"/>
  <c r="AF16"/>
  <c r="AF17"/>
  <c r="AF18"/>
  <c r="AF19"/>
  <c r="AF20"/>
  <c r="AF21"/>
  <c r="AF22"/>
  <c r="AF25"/>
  <c r="AF27"/>
  <c r="AF28"/>
  <c r="AF9"/>
  <c r="AF10" i="20"/>
  <c r="AF11"/>
  <c r="AF12"/>
  <c r="AF13"/>
  <c r="AF14"/>
  <c r="AF15"/>
  <c r="AF16"/>
  <c r="AF17"/>
  <c r="AF18"/>
  <c r="AF19"/>
  <c r="AF20"/>
  <c r="AF21"/>
  <c r="AF22"/>
  <c r="AF24"/>
  <c r="AF26"/>
  <c r="AF27"/>
  <c r="AF9"/>
  <c r="AF11" i="18"/>
  <c r="AF12"/>
  <c r="AF13"/>
  <c r="AF14"/>
  <c r="AF15"/>
  <c r="AF16"/>
  <c r="AF17"/>
  <c r="AF18"/>
  <c r="AF19"/>
  <c r="AF20"/>
  <c r="AF21"/>
  <c r="AF22"/>
  <c r="AF23"/>
  <c r="AF24"/>
  <c r="AF25"/>
  <c r="AF26"/>
  <c r="AF10"/>
  <c r="AF10" i="17"/>
  <c r="AF11"/>
  <c r="AF12"/>
  <c r="AF13"/>
  <c r="AF14"/>
  <c r="AF15"/>
  <c r="AF16"/>
  <c r="AF17"/>
  <c r="AF18"/>
  <c r="AF19"/>
  <c r="AF20"/>
  <c r="AF21"/>
  <c r="AF22"/>
  <c r="AF25"/>
  <c r="AF27"/>
  <c r="AF28"/>
  <c r="AF9"/>
  <c r="AF10" i="16"/>
  <c r="AF11"/>
  <c r="AF12"/>
  <c r="AF13"/>
  <c r="AF14"/>
  <c r="AF15"/>
  <c r="AF16"/>
  <c r="AF17"/>
  <c r="AF18"/>
  <c r="AF19"/>
  <c r="AF20"/>
  <c r="AF21"/>
  <c r="AF22"/>
  <c r="AF25"/>
  <c r="AF27"/>
  <c r="AF28"/>
  <c r="AF9"/>
  <c r="AF10" i="15"/>
  <c r="AF11"/>
  <c r="AF12"/>
  <c r="AF13"/>
  <c r="AF14"/>
  <c r="AF15"/>
  <c r="AF16"/>
  <c r="AF17"/>
  <c r="AF18"/>
  <c r="AF19"/>
  <c r="AF20"/>
  <c r="AF21"/>
  <c r="AF22"/>
  <c r="AF25"/>
  <c r="AF27"/>
  <c r="AF28"/>
  <c r="AF9"/>
  <c r="AF10" i="14"/>
  <c r="AF11"/>
  <c r="AF12"/>
  <c r="AF13"/>
  <c r="AF14"/>
  <c r="AF15"/>
  <c r="AF16"/>
  <c r="AF17"/>
  <c r="AF18"/>
  <c r="AF19"/>
  <c r="AF20"/>
  <c r="AF21"/>
  <c r="AF22"/>
  <c r="AF25"/>
  <c r="AF27"/>
  <c r="AF28"/>
  <c r="AF9"/>
  <c r="AF10" i="13"/>
  <c r="AF11"/>
  <c r="AF12"/>
  <c r="AF13"/>
  <c r="AF14"/>
  <c r="AF15"/>
  <c r="AF16"/>
  <c r="AF17"/>
  <c r="AF18"/>
  <c r="AF19"/>
  <c r="AF20"/>
  <c r="AF21"/>
  <c r="AF22"/>
  <c r="AF25"/>
  <c r="AF27"/>
  <c r="AF28"/>
  <c r="AF9"/>
  <c r="AF11" i="12"/>
  <c r="AF12"/>
  <c r="AF13"/>
  <c r="AF14"/>
  <c r="AF15"/>
  <c r="AF16"/>
  <c r="AF17"/>
  <c r="AF18"/>
  <c r="AF19"/>
  <c r="AF20"/>
  <c r="AF21"/>
  <c r="AF22"/>
  <c r="AF25"/>
  <c r="AF27"/>
  <c r="AF28"/>
  <c r="AF9"/>
  <c r="AF10" i="11"/>
  <c r="AF11"/>
  <c r="AF12"/>
  <c r="AF13"/>
  <c r="AF14"/>
  <c r="AF15"/>
  <c r="AF16"/>
  <c r="AF17"/>
  <c r="AF18"/>
  <c r="AF19"/>
  <c r="AF20"/>
  <c r="AF21"/>
  <c r="AF22"/>
  <c r="AF25"/>
  <c r="AF27"/>
  <c r="AF28"/>
  <c r="AF9"/>
  <c r="AF10" i="10"/>
  <c r="AF11"/>
  <c r="AF12"/>
  <c r="AF13"/>
  <c r="AF14"/>
  <c r="AF15"/>
  <c r="AF16"/>
  <c r="AF17"/>
  <c r="AF18"/>
  <c r="AF19"/>
  <c r="AF20"/>
  <c r="AF21"/>
  <c r="AF22"/>
  <c r="AF25"/>
  <c r="AF27"/>
  <c r="AF28"/>
  <c r="AF9"/>
  <c r="AF10" i="9"/>
  <c r="AF11"/>
  <c r="AF12"/>
  <c r="AF13"/>
  <c r="AF14"/>
  <c r="AF15"/>
  <c r="AF16"/>
  <c r="AF17"/>
  <c r="AF18"/>
  <c r="AF19"/>
  <c r="AF20"/>
  <c r="AF21"/>
  <c r="AF22"/>
  <c r="AF25"/>
  <c r="AF27"/>
  <c r="AF28"/>
  <c r="AF9"/>
  <c r="AF10" i="8"/>
  <c r="AF11"/>
  <c r="AF12"/>
  <c r="AF13"/>
  <c r="AF14"/>
  <c r="AF15"/>
  <c r="AF16"/>
  <c r="AF17"/>
  <c r="AF18"/>
  <c r="AF19"/>
  <c r="AF20"/>
  <c r="AF21"/>
  <c r="AF22"/>
  <c r="AF9"/>
  <c r="AF10" i="7"/>
  <c r="AF11"/>
  <c r="AF12"/>
  <c r="AF13"/>
  <c r="AF14"/>
  <c r="AF15"/>
  <c r="AF16"/>
  <c r="AF17"/>
  <c r="AF18"/>
  <c r="AF19"/>
  <c r="AF20"/>
  <c r="AF21"/>
  <c r="AF22"/>
  <c r="AF25"/>
  <c r="AF27"/>
  <c r="AF28"/>
  <c r="AF9"/>
  <c r="AF10" i="5"/>
  <c r="AF11"/>
  <c r="AF12"/>
  <c r="AF13"/>
  <c r="AF14"/>
  <c r="AF15"/>
  <c r="AF16"/>
  <c r="AF17"/>
  <c r="AF18"/>
  <c r="AF19"/>
  <c r="AF20"/>
  <c r="AF21"/>
  <c r="AF22"/>
  <c r="AF24"/>
  <c r="AF26"/>
  <c r="AF27"/>
  <c r="AF9"/>
  <c r="AF10" i="4"/>
  <c r="AF11"/>
  <c r="AF12"/>
  <c r="AF13"/>
  <c r="AF14"/>
  <c r="AF15"/>
  <c r="AF16"/>
  <c r="AF17"/>
  <c r="AF18"/>
  <c r="AF19"/>
  <c r="AF20"/>
  <c r="AF21"/>
  <c r="AF22"/>
  <c r="AF25"/>
  <c r="AF27"/>
  <c r="AF28"/>
  <c r="AF9"/>
  <c r="AC11" i="24"/>
  <c r="AC12"/>
  <c r="AC13"/>
  <c r="AC14"/>
  <c r="AC15"/>
  <c r="AC21"/>
  <c r="AC22"/>
  <c r="AC10"/>
  <c r="AC11" i="23"/>
  <c r="AC12"/>
  <c r="AC13"/>
  <c r="AC14"/>
  <c r="AC15"/>
  <c r="AC19"/>
  <c r="AC20"/>
  <c r="AC22"/>
  <c r="AC10"/>
  <c r="AC10" i="22"/>
  <c r="AC11"/>
  <c r="AC12"/>
  <c r="AC13"/>
  <c r="AC14"/>
  <c r="AC18"/>
  <c r="AC19"/>
  <c r="AC21"/>
  <c r="AC9"/>
  <c r="AC10" i="21"/>
  <c r="AC11"/>
  <c r="AC12"/>
  <c r="AC13"/>
  <c r="AC14"/>
  <c r="AC18"/>
  <c r="AC19"/>
  <c r="AC21"/>
  <c r="AC9"/>
  <c r="AC10" i="20"/>
  <c r="AC11"/>
  <c r="AC12"/>
  <c r="AC13"/>
  <c r="AC14"/>
  <c r="AC18"/>
  <c r="AC19"/>
  <c r="AC21"/>
  <c r="AC9"/>
  <c r="AC11" i="18"/>
  <c r="AC12"/>
  <c r="AC13"/>
  <c r="AC14"/>
  <c r="AC15"/>
  <c r="AC19"/>
  <c r="AC20"/>
  <c r="AC22"/>
  <c r="AC10"/>
  <c r="AC10" i="17"/>
  <c r="AC11"/>
  <c r="AC12"/>
  <c r="AC13"/>
  <c r="AC14"/>
  <c r="AC18"/>
  <c r="AC19"/>
  <c r="AC21"/>
  <c r="AC9"/>
  <c r="AC10" i="16"/>
  <c r="AC11"/>
  <c r="AC12"/>
  <c r="AC13"/>
  <c r="AC14"/>
  <c r="AC15"/>
  <c r="AC18"/>
  <c r="AC19"/>
  <c r="AC21"/>
  <c r="AC9"/>
  <c r="AC10" i="15"/>
  <c r="AC11"/>
  <c r="AC12"/>
  <c r="AC13"/>
  <c r="AC14"/>
  <c r="AC18"/>
  <c r="AC19"/>
  <c r="AC21"/>
  <c r="AC9"/>
  <c r="AC10" i="14"/>
  <c r="AC11"/>
  <c r="AC12"/>
  <c r="AC13"/>
  <c r="AC14"/>
  <c r="AC18"/>
  <c r="AC19"/>
  <c r="AC21"/>
  <c r="AC9"/>
  <c r="AC10" i="13"/>
  <c r="AC11"/>
  <c r="AC12"/>
  <c r="AC13"/>
  <c r="AC14"/>
  <c r="AC18"/>
  <c r="AC19"/>
  <c r="AC21"/>
  <c r="AC9"/>
  <c r="AC10" i="12"/>
  <c r="AC11"/>
  <c r="AC12"/>
  <c r="AC13"/>
  <c r="AC14"/>
  <c r="AC15"/>
  <c r="AC18"/>
  <c r="AC19"/>
  <c r="AC20"/>
  <c r="AC21"/>
  <c r="AC22"/>
  <c r="AC9"/>
  <c r="AC10" i="11"/>
  <c r="AC11"/>
  <c r="AC12"/>
  <c r="AC13"/>
  <c r="AC14"/>
  <c r="AC18"/>
  <c r="AC19"/>
  <c r="AC21"/>
  <c r="AC25"/>
  <c r="AC9"/>
  <c r="AC10" i="10"/>
  <c r="AC11"/>
  <c r="AC12"/>
  <c r="AC13"/>
  <c r="AC14"/>
  <c r="AC18"/>
  <c r="AC19"/>
  <c r="AC21"/>
  <c r="AC22"/>
  <c r="AC9"/>
  <c r="AC10" i="9"/>
  <c r="AC11"/>
  <c r="AC12"/>
  <c r="AC13"/>
  <c r="AC14"/>
  <c r="AC18"/>
  <c r="AC19"/>
  <c r="AC21"/>
  <c r="AC9"/>
  <c r="AC10" i="8"/>
  <c r="AC11"/>
  <c r="AC12"/>
  <c r="AC13"/>
  <c r="AC14"/>
  <c r="AC18"/>
  <c r="AC19"/>
  <c r="AC21"/>
  <c r="AC9"/>
  <c r="AC10" i="7"/>
  <c r="AC11"/>
  <c r="AC12"/>
  <c r="AC13"/>
  <c r="AC14"/>
  <c r="AC18"/>
  <c r="AC19"/>
  <c r="AC21"/>
  <c r="AC25"/>
  <c r="AC27"/>
  <c r="AC28"/>
  <c r="AC9"/>
  <c r="AC10" i="6"/>
  <c r="AC11"/>
  <c r="AC12"/>
  <c r="AC13"/>
  <c r="AC14"/>
  <c r="AC18"/>
  <c r="AC19"/>
  <c r="AC21"/>
  <c r="AC9"/>
  <c r="AC10" i="5"/>
  <c r="AC11"/>
  <c r="AC12"/>
  <c r="AC13"/>
  <c r="AC14"/>
  <c r="AC18"/>
  <c r="AC19"/>
  <c r="AC21"/>
  <c r="AC9"/>
  <c r="AC10" i="4"/>
  <c r="AC11"/>
  <c r="AC12"/>
  <c r="AC13"/>
  <c r="AC14"/>
  <c r="AC15"/>
  <c r="AC16"/>
  <c r="AC17"/>
  <c r="AC18"/>
  <c r="AC19"/>
  <c r="AC20"/>
  <c r="AC21"/>
  <c r="AC22"/>
  <c r="AC25"/>
  <c r="AC9"/>
  <c r="Y14" i="25"/>
  <c r="X9"/>
  <c r="Y30" i="13"/>
  <c r="Z26" i="24"/>
  <c r="AC26"/>
  <c r="Z25"/>
  <c r="AC25"/>
  <c r="Z24"/>
  <c r="AC24"/>
  <c r="Z23"/>
  <c r="AC23"/>
  <c r="Z22"/>
  <c r="Z21"/>
  <c r="Z20"/>
  <c r="Z19"/>
  <c r="Z18"/>
  <c r="AC18"/>
  <c r="Z17"/>
  <c r="AC17"/>
  <c r="Z16"/>
  <c r="AC16"/>
  <c r="Z15"/>
  <c r="Z14"/>
  <c r="Z13"/>
  <c r="Z12"/>
  <c r="Z11"/>
  <c r="Z10"/>
  <c r="Z26" i="23"/>
  <c r="AC26"/>
  <c r="Z25"/>
  <c r="AC25"/>
  <c r="Z24"/>
  <c r="AC24"/>
  <c r="Z23"/>
  <c r="AC23"/>
  <c r="Z22"/>
  <c r="Z21"/>
  <c r="AC21"/>
  <c r="Z20"/>
  <c r="Z19"/>
  <c r="Z18"/>
  <c r="AC18"/>
  <c r="Z17"/>
  <c r="AC17"/>
  <c r="Z16"/>
  <c r="AC16"/>
  <c r="Z15"/>
  <c r="Z14"/>
  <c r="Z13"/>
  <c r="Z12"/>
  <c r="Z11"/>
  <c r="Z10"/>
  <c r="Z28" i="22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21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7" i="20"/>
  <c r="AC27"/>
  <c r="Z26"/>
  <c r="AC26"/>
  <c r="Z24"/>
  <c r="AC24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6" i="18"/>
  <c r="AC26"/>
  <c r="Z25"/>
  <c r="AC25"/>
  <c r="Z24"/>
  <c r="AC24"/>
  <c r="Z23"/>
  <c r="AC23"/>
  <c r="Z22"/>
  <c r="Z21"/>
  <c r="AC21"/>
  <c r="Z20"/>
  <c r="Z19"/>
  <c r="Z18"/>
  <c r="AC18"/>
  <c r="Z17"/>
  <c r="AC17"/>
  <c r="Z16"/>
  <c r="AC16"/>
  <c r="Z15"/>
  <c r="Z14"/>
  <c r="Z13"/>
  <c r="Z12"/>
  <c r="Z11"/>
  <c r="Z10"/>
  <c r="Z28" i="17"/>
  <c r="AC28"/>
  <c r="Z27"/>
  <c r="AC27"/>
  <c r="Z25"/>
  <c r="AC25"/>
  <c r="Z22"/>
  <c r="AC22"/>
  <c r="Z21"/>
  <c r="Z20"/>
  <c r="AC20"/>
  <c r="Z17"/>
  <c r="AC17"/>
  <c r="Z16"/>
  <c r="AC16"/>
  <c r="Z15"/>
  <c r="AC15"/>
  <c r="Z14"/>
  <c r="Z13"/>
  <c r="Z12"/>
  <c r="Z11"/>
  <c r="Z10"/>
  <c r="Z9"/>
  <c r="Z28" i="16"/>
  <c r="AC28"/>
  <c r="Z27"/>
  <c r="AC27"/>
  <c r="Z25"/>
  <c r="AC25"/>
  <c r="Z22"/>
  <c r="AC22"/>
  <c r="Z21"/>
  <c r="Z20"/>
  <c r="AC20"/>
  <c r="Z19"/>
  <c r="Z18"/>
  <c r="Z17"/>
  <c r="AC17"/>
  <c r="Z16"/>
  <c r="AC16"/>
  <c r="Z15"/>
  <c r="Z14"/>
  <c r="Z13"/>
  <c r="Z12"/>
  <c r="Z11"/>
  <c r="Z10"/>
  <c r="Z9"/>
  <c r="Z28" i="15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14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13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12"/>
  <c r="AC28"/>
  <c r="Z27"/>
  <c r="AC27"/>
  <c r="Z25"/>
  <c r="AC25"/>
  <c r="Z22"/>
  <c r="Z21"/>
  <c r="Z20"/>
  <c r="Z19"/>
  <c r="Z18"/>
  <c r="Z17"/>
  <c r="AC17"/>
  <c r="Z16"/>
  <c r="AC16"/>
  <c r="Z15"/>
  <c r="Z14"/>
  <c r="Z13"/>
  <c r="Z12"/>
  <c r="Z11"/>
  <c r="Z10"/>
  <c r="Z9"/>
  <c r="Z28" i="11"/>
  <c r="AC28"/>
  <c r="Z27"/>
  <c r="AC27"/>
  <c r="Z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10"/>
  <c r="AC28"/>
  <c r="Z27"/>
  <c r="AC27"/>
  <c r="Z25"/>
  <c r="AC25"/>
  <c r="Z22"/>
  <c r="Z21"/>
  <c r="Z20"/>
  <c r="AC20"/>
  <c r="Z19"/>
  <c r="Z18"/>
  <c r="Z17"/>
  <c r="AC17"/>
  <c r="Z16"/>
  <c r="AC16"/>
  <c r="Z15"/>
  <c r="AC15"/>
  <c r="Z13"/>
  <c r="Z12"/>
  <c r="Z11"/>
  <c r="Z10"/>
  <c r="Z9"/>
  <c r="Z28" i="9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2" i="8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7"/>
  <c r="Z27"/>
  <c r="Z25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6"/>
  <c r="AC28"/>
  <c r="Z27"/>
  <c r="AC27"/>
  <c r="Z25"/>
  <c r="AC25"/>
  <c r="Z22"/>
  <c r="AC22"/>
  <c r="Z21"/>
  <c r="Z20"/>
  <c r="AC20"/>
  <c r="Z19"/>
  <c r="Z18"/>
  <c r="Z17"/>
  <c r="AC17"/>
  <c r="Z16"/>
  <c r="AC16"/>
  <c r="Z15"/>
  <c r="AC15"/>
  <c r="Z13"/>
  <c r="Z12"/>
  <c r="Z11"/>
  <c r="Z10"/>
  <c r="Z9"/>
  <c r="Z27" i="5"/>
  <c r="AC27"/>
  <c r="Z26"/>
  <c r="AC26"/>
  <c r="Z24"/>
  <c r="AC24"/>
  <c r="Z22"/>
  <c r="AC22"/>
  <c r="Z21"/>
  <c r="Z20"/>
  <c r="AC20"/>
  <c r="Z19"/>
  <c r="Z18"/>
  <c r="Z17"/>
  <c r="AC17"/>
  <c r="Z16"/>
  <c r="AC16"/>
  <c r="Z15"/>
  <c r="AC15"/>
  <c r="Z14"/>
  <c r="Z13"/>
  <c r="Z12"/>
  <c r="Z11"/>
  <c r="Z10"/>
  <c r="Z9"/>
  <c r="Z28" i="4"/>
  <c r="AC28"/>
  <c r="Z27"/>
  <c r="AC27"/>
  <c r="Z25"/>
  <c r="Z22"/>
  <c r="Z21"/>
  <c r="Z20"/>
  <c r="Z19"/>
  <c r="Z18"/>
  <c r="Z17"/>
  <c r="Z16"/>
  <c r="Z15"/>
  <c r="Z14"/>
  <c r="Z13"/>
  <c r="Z12"/>
  <c r="Z11"/>
  <c r="Z10"/>
  <c r="Z9"/>
  <c r="W11" i="24"/>
  <c r="W12"/>
  <c r="W13"/>
  <c r="W14"/>
  <c r="W15"/>
  <c r="W16"/>
  <c r="W17"/>
  <c r="W18"/>
  <c r="W19"/>
  <c r="W20"/>
  <c r="W21"/>
  <c r="W22"/>
  <c r="W23"/>
  <c r="W24"/>
  <c r="W25"/>
  <c r="W26"/>
  <c r="W10"/>
  <c r="W11" i="23"/>
  <c r="W12"/>
  <c r="W13"/>
  <c r="W14"/>
  <c r="W15"/>
  <c r="W16"/>
  <c r="W17"/>
  <c r="W18"/>
  <c r="W19"/>
  <c r="W20"/>
  <c r="W21"/>
  <c r="W22"/>
  <c r="W23"/>
  <c r="W24"/>
  <c r="W25"/>
  <c r="W26"/>
  <c r="W10"/>
  <c r="W10" i="22"/>
  <c r="W11"/>
  <c r="W12"/>
  <c r="W13"/>
  <c r="W14"/>
  <c r="W15"/>
  <c r="W16"/>
  <c r="W17"/>
  <c r="W18"/>
  <c r="W19"/>
  <c r="W20"/>
  <c r="W21"/>
  <c r="W22"/>
  <c r="W25"/>
  <c r="W27"/>
  <c r="W28"/>
  <c r="W9"/>
  <c r="W10" i="21"/>
  <c r="W11"/>
  <c r="W12"/>
  <c r="W13"/>
  <c r="W14"/>
  <c r="W15"/>
  <c r="W17"/>
  <c r="W18"/>
  <c r="W19"/>
  <c r="W20"/>
  <c r="W21"/>
  <c r="W22"/>
  <c r="W25"/>
  <c r="W27"/>
  <c r="W28"/>
  <c r="W9"/>
  <c r="W10" i="20"/>
  <c r="W11"/>
  <c r="W12"/>
  <c r="W13"/>
  <c r="W14"/>
  <c r="W15"/>
  <c r="W16"/>
  <c r="W17"/>
  <c r="W18"/>
  <c r="W19"/>
  <c r="W20"/>
  <c r="W21"/>
  <c r="W22"/>
  <c r="W24"/>
  <c r="W26"/>
  <c r="W27"/>
  <c r="W9"/>
  <c r="W11" i="18"/>
  <c r="W12"/>
  <c r="W13"/>
  <c r="W14"/>
  <c r="W15"/>
  <c r="W16"/>
  <c r="W17"/>
  <c r="W18"/>
  <c r="W19"/>
  <c r="W20"/>
  <c r="W21"/>
  <c r="W22"/>
  <c r="W23"/>
  <c r="W24"/>
  <c r="W25"/>
  <c r="W26"/>
  <c r="W10"/>
  <c r="W10" i="17"/>
  <c r="W11"/>
  <c r="W12"/>
  <c r="W13"/>
  <c r="W14"/>
  <c r="W15"/>
  <c r="W16"/>
  <c r="W17"/>
  <c r="W18"/>
  <c r="W19"/>
  <c r="W20"/>
  <c r="W21"/>
  <c r="W22"/>
  <c r="W25"/>
  <c r="W27"/>
  <c r="W28"/>
  <c r="W9"/>
  <c r="W10" i="16"/>
  <c r="W11"/>
  <c r="W12"/>
  <c r="W13"/>
  <c r="W14"/>
  <c r="W15"/>
  <c r="W16"/>
  <c r="W17"/>
  <c r="W18"/>
  <c r="W19"/>
  <c r="W20"/>
  <c r="W21"/>
  <c r="W22"/>
  <c r="W25"/>
  <c r="W27"/>
  <c r="W28"/>
  <c r="W9"/>
  <c r="W10" i="15"/>
  <c r="W11"/>
  <c r="W12"/>
  <c r="W13"/>
  <c r="W14"/>
  <c r="W15"/>
  <c r="W16"/>
  <c r="W17"/>
  <c r="W18"/>
  <c r="W20"/>
  <c r="W22"/>
  <c r="W25"/>
  <c r="W27"/>
  <c r="W28"/>
  <c r="W9"/>
  <c r="W10" i="14"/>
  <c r="W11"/>
  <c r="W12"/>
  <c r="W13"/>
  <c r="W14"/>
  <c r="W15"/>
  <c r="W16"/>
  <c r="W17"/>
  <c r="W18"/>
  <c r="W19"/>
  <c r="W20"/>
  <c r="W21"/>
  <c r="W22"/>
  <c r="W25"/>
  <c r="W27"/>
  <c r="W28"/>
  <c r="W9"/>
  <c r="W10" i="13"/>
  <c r="W11"/>
  <c r="W12"/>
  <c r="W13"/>
  <c r="W14"/>
  <c r="W15"/>
  <c r="W16"/>
  <c r="W17"/>
  <c r="W18"/>
  <c r="W19"/>
  <c r="W20"/>
  <c r="W21"/>
  <c r="W22"/>
  <c r="W25"/>
  <c r="W27"/>
  <c r="W28"/>
  <c r="W9"/>
  <c r="W10" i="12"/>
  <c r="W11"/>
  <c r="W12"/>
  <c r="W13"/>
  <c r="W14"/>
  <c r="W15"/>
  <c r="W16"/>
  <c r="W17"/>
  <c r="W18"/>
  <c r="W19"/>
  <c r="W20"/>
  <c r="W21"/>
  <c r="W22"/>
  <c r="W25"/>
  <c r="W27"/>
  <c r="W28"/>
  <c r="W9"/>
  <c r="W10" i="11"/>
  <c r="W11"/>
  <c r="W12"/>
  <c r="W13"/>
  <c r="W14"/>
  <c r="W15"/>
  <c r="W16"/>
  <c r="W17"/>
  <c r="W18"/>
  <c r="W19"/>
  <c r="W20"/>
  <c r="W21"/>
  <c r="W22"/>
  <c r="W25"/>
  <c r="W27"/>
  <c r="W28"/>
  <c r="W9"/>
  <c r="W10" i="10"/>
  <c r="W11"/>
  <c r="W12"/>
  <c r="W13"/>
  <c r="W14"/>
  <c r="W15"/>
  <c r="W16"/>
  <c r="W17"/>
  <c r="W18"/>
  <c r="W19"/>
  <c r="W20"/>
  <c r="W21"/>
  <c r="W22"/>
  <c r="W25"/>
  <c r="W27"/>
  <c r="W28"/>
  <c r="W9"/>
  <c r="W10" i="9"/>
  <c r="W11"/>
  <c r="W12"/>
  <c r="W13"/>
  <c r="W14"/>
  <c r="W15"/>
  <c r="W16"/>
  <c r="W17"/>
  <c r="W17" i="25" s="1"/>
  <c r="W18" i="9"/>
  <c r="W19"/>
  <c r="W20"/>
  <c r="W21"/>
  <c r="W22"/>
  <c r="W25"/>
  <c r="W27"/>
  <c r="W28"/>
  <c r="W9"/>
  <c r="W10" i="8"/>
  <c r="W11"/>
  <c r="W12"/>
  <c r="W13"/>
  <c r="W14"/>
  <c r="W15"/>
  <c r="W16"/>
  <c r="W17"/>
  <c r="W18"/>
  <c r="W19"/>
  <c r="W20"/>
  <c r="W21"/>
  <c r="W22"/>
  <c r="W9"/>
  <c r="W10" i="7"/>
  <c r="W11"/>
  <c r="W12"/>
  <c r="W13"/>
  <c r="W14"/>
  <c r="W15"/>
  <c r="W16"/>
  <c r="W17"/>
  <c r="W18"/>
  <c r="W19"/>
  <c r="W20"/>
  <c r="W21"/>
  <c r="W22"/>
  <c r="W25"/>
  <c r="W27"/>
  <c r="W28"/>
  <c r="W9"/>
  <c r="W10" i="6"/>
  <c r="W11"/>
  <c r="W12"/>
  <c r="W13"/>
  <c r="W14"/>
  <c r="W15"/>
  <c r="W16"/>
  <c r="W17"/>
  <c r="W18"/>
  <c r="W19"/>
  <c r="W20"/>
  <c r="W21"/>
  <c r="W22"/>
  <c r="W25"/>
  <c r="W27"/>
  <c r="W28"/>
  <c r="W9"/>
  <c r="W10" i="5"/>
  <c r="W11"/>
  <c r="W12"/>
  <c r="W13"/>
  <c r="W14"/>
  <c r="W15"/>
  <c r="W16"/>
  <c r="W17"/>
  <c r="W18"/>
  <c r="W19"/>
  <c r="W20"/>
  <c r="W21"/>
  <c r="W22"/>
  <c r="W24"/>
  <c r="W26"/>
  <c r="W27"/>
  <c r="W9"/>
  <c r="W10" i="4"/>
  <c r="W11"/>
  <c r="W12"/>
  <c r="W13"/>
  <c r="W14"/>
  <c r="W15"/>
  <c r="W16"/>
  <c r="W17"/>
  <c r="W18"/>
  <c r="W19"/>
  <c r="W20"/>
  <c r="W21"/>
  <c r="W22"/>
  <c r="W25"/>
  <c r="W27"/>
  <c r="W28"/>
  <c r="W9"/>
  <c r="T11" i="24"/>
  <c r="T12"/>
  <c r="T13"/>
  <c r="T14"/>
  <c r="T15"/>
  <c r="T16"/>
  <c r="T17"/>
  <c r="T18"/>
  <c r="T19"/>
  <c r="T20"/>
  <c r="T21"/>
  <c r="T22"/>
  <c r="T23"/>
  <c r="T24"/>
  <c r="T25"/>
  <c r="T26"/>
  <c r="T10"/>
  <c r="T11" i="23"/>
  <c r="T12"/>
  <c r="T13"/>
  <c r="T14"/>
  <c r="T15"/>
  <c r="T16"/>
  <c r="T17"/>
  <c r="T18"/>
  <c r="T19"/>
  <c r="T20"/>
  <c r="T21"/>
  <c r="T22"/>
  <c r="T23"/>
  <c r="T24"/>
  <c r="T25"/>
  <c r="T26"/>
  <c r="T10"/>
  <c r="T10" i="22"/>
  <c r="T11"/>
  <c r="T12"/>
  <c r="T13"/>
  <c r="T14"/>
  <c r="T15"/>
  <c r="T16"/>
  <c r="T17"/>
  <c r="T18"/>
  <c r="T19"/>
  <c r="T20"/>
  <c r="T21"/>
  <c r="T22"/>
  <c r="T25"/>
  <c r="T27"/>
  <c r="T28"/>
  <c r="T9"/>
  <c r="T19" i="21"/>
  <c r="T20"/>
  <c r="T21"/>
  <c r="T22"/>
  <c r="T25"/>
  <c r="T27"/>
  <c r="T28"/>
  <c r="T10" i="20"/>
  <c r="T11"/>
  <c r="T12"/>
  <c r="T13"/>
  <c r="T14"/>
  <c r="T15"/>
  <c r="T16"/>
  <c r="T17"/>
  <c r="T18"/>
  <c r="T19"/>
  <c r="T20"/>
  <c r="T21"/>
  <c r="T22"/>
  <c r="T24"/>
  <c r="T26"/>
  <c r="T27"/>
  <c r="T9"/>
  <c r="T11" i="18"/>
  <c r="T12"/>
  <c r="T13"/>
  <c r="T14"/>
  <c r="T15"/>
  <c r="T16"/>
  <c r="T17"/>
  <c r="T18"/>
  <c r="T19"/>
  <c r="T20"/>
  <c r="T21"/>
  <c r="T22"/>
  <c r="T23"/>
  <c r="T24"/>
  <c r="T25"/>
  <c r="T26"/>
  <c r="T10"/>
  <c r="T10" i="17"/>
  <c r="T11"/>
  <c r="T12"/>
  <c r="T13"/>
  <c r="T14"/>
  <c r="T15"/>
  <c r="T16"/>
  <c r="T17"/>
  <c r="T18"/>
  <c r="T19"/>
  <c r="T20"/>
  <c r="T21"/>
  <c r="T22"/>
  <c r="T25"/>
  <c r="T27"/>
  <c r="T28"/>
  <c r="T9"/>
  <c r="T10" i="16"/>
  <c r="T11"/>
  <c r="T12"/>
  <c r="T13"/>
  <c r="T14"/>
  <c r="T15"/>
  <c r="T16"/>
  <c r="T17"/>
  <c r="T18"/>
  <c r="T19"/>
  <c r="T20"/>
  <c r="T21"/>
  <c r="T22"/>
  <c r="T25"/>
  <c r="T27"/>
  <c r="T28"/>
  <c r="T9"/>
  <c r="T10" i="15"/>
  <c r="T11"/>
  <c r="T12"/>
  <c r="T13"/>
  <c r="T14"/>
  <c r="T15"/>
  <c r="T16"/>
  <c r="T17"/>
  <c r="T18"/>
  <c r="T19"/>
  <c r="T20"/>
  <c r="T21"/>
  <c r="T22"/>
  <c r="T25"/>
  <c r="T27"/>
  <c r="T28"/>
  <c r="T9"/>
  <c r="T10" i="14"/>
  <c r="T11"/>
  <c r="T12"/>
  <c r="T13"/>
  <c r="T14"/>
  <c r="T15"/>
  <c r="T16"/>
  <c r="T17"/>
  <c r="T18"/>
  <c r="T19"/>
  <c r="T20"/>
  <c r="T21"/>
  <c r="T22"/>
  <c r="T25"/>
  <c r="T27"/>
  <c r="T28"/>
  <c r="T10" i="13"/>
  <c r="AO10" s="1"/>
  <c r="T11"/>
  <c r="T12"/>
  <c r="T13"/>
  <c r="T14"/>
  <c r="T15"/>
  <c r="T16"/>
  <c r="T17"/>
  <c r="T18"/>
  <c r="T19"/>
  <c r="T20"/>
  <c r="T21"/>
  <c r="T22"/>
  <c r="T25"/>
  <c r="T27"/>
  <c r="T28"/>
  <c r="T9"/>
  <c r="T10" i="12"/>
  <c r="T11"/>
  <c r="T12"/>
  <c r="T13"/>
  <c r="T14"/>
  <c r="T15"/>
  <c r="T16"/>
  <c r="T17"/>
  <c r="T18"/>
  <c r="T19"/>
  <c r="T20"/>
  <c r="T21"/>
  <c r="T22"/>
  <c r="T25"/>
  <c r="T27"/>
  <c r="T28"/>
  <c r="T9"/>
  <c r="T10" i="11"/>
  <c r="T11"/>
  <c r="T12"/>
  <c r="T13"/>
  <c r="T14"/>
  <c r="T15"/>
  <c r="T16"/>
  <c r="T17"/>
  <c r="T18"/>
  <c r="T19"/>
  <c r="T20"/>
  <c r="T21"/>
  <c r="T22"/>
  <c r="T25"/>
  <c r="T27"/>
  <c r="T28"/>
  <c r="T9"/>
  <c r="T10" i="10"/>
  <c r="T11"/>
  <c r="T12"/>
  <c r="T13"/>
  <c r="T14"/>
  <c r="T15"/>
  <c r="T16"/>
  <c r="T17"/>
  <c r="T18"/>
  <c r="T19"/>
  <c r="T20"/>
  <c r="T21"/>
  <c r="T22"/>
  <c r="T25"/>
  <c r="T27"/>
  <c r="T28"/>
  <c r="T9"/>
  <c r="T10" i="9"/>
  <c r="T11"/>
  <c r="T12"/>
  <c r="T13"/>
  <c r="T14"/>
  <c r="T15"/>
  <c r="T16"/>
  <c r="T17"/>
  <c r="T18"/>
  <c r="T19"/>
  <c r="T20"/>
  <c r="T21"/>
  <c r="T22"/>
  <c r="T25"/>
  <c r="T27"/>
  <c r="T28"/>
  <c r="T9"/>
  <c r="T10" i="8"/>
  <c r="T11"/>
  <c r="T12"/>
  <c r="T13"/>
  <c r="T14"/>
  <c r="T15"/>
  <c r="T16"/>
  <c r="T17"/>
  <c r="T18"/>
  <c r="T19"/>
  <c r="T20"/>
  <c r="T21"/>
  <c r="T22"/>
  <c r="T9"/>
  <c r="T10" i="7"/>
  <c r="T11"/>
  <c r="T12"/>
  <c r="T13"/>
  <c r="T14"/>
  <c r="T15"/>
  <c r="T16"/>
  <c r="T17"/>
  <c r="T18"/>
  <c r="T19"/>
  <c r="T20"/>
  <c r="T21"/>
  <c r="T22"/>
  <c r="T25"/>
  <c r="T27"/>
  <c r="T28"/>
  <c r="T9"/>
  <c r="T10" i="6"/>
  <c r="T11"/>
  <c r="T12"/>
  <c r="T13"/>
  <c r="T14"/>
  <c r="T15"/>
  <c r="T16"/>
  <c r="T17"/>
  <c r="T18"/>
  <c r="T19"/>
  <c r="T20"/>
  <c r="T21"/>
  <c r="T22"/>
  <c r="T25"/>
  <c r="T27"/>
  <c r="T28"/>
  <c r="T9"/>
  <c r="T12" i="5"/>
  <c r="T13"/>
  <c r="T14"/>
  <c r="T15"/>
  <c r="T16"/>
  <c r="T17"/>
  <c r="T18"/>
  <c r="T19"/>
  <c r="T20"/>
  <c r="T21"/>
  <c r="T22"/>
  <c r="T24"/>
  <c r="T26"/>
  <c r="T27"/>
  <c r="T10" i="4"/>
  <c r="T11"/>
  <c r="T12"/>
  <c r="T13"/>
  <c r="T14"/>
  <c r="T15"/>
  <c r="T16"/>
  <c r="T17"/>
  <c r="T18"/>
  <c r="T19"/>
  <c r="T20"/>
  <c r="T21"/>
  <c r="T22"/>
  <c r="T25"/>
  <c r="T27"/>
  <c r="T28"/>
  <c r="T9"/>
  <c r="Q11" i="24"/>
  <c r="Q12"/>
  <c r="Q13"/>
  <c r="Q14"/>
  <c r="Q15"/>
  <c r="Q16"/>
  <c r="Q17"/>
  <c r="Q18"/>
  <c r="Q19"/>
  <c r="Q20"/>
  <c r="Q21"/>
  <c r="Q22"/>
  <c r="Q23"/>
  <c r="Q24"/>
  <c r="Q25"/>
  <c r="Q26"/>
  <c r="Q10"/>
  <c r="Q11" i="23"/>
  <c r="Q12"/>
  <c r="Q13"/>
  <c r="Q14"/>
  <c r="Q15"/>
  <c r="Q16"/>
  <c r="Q17"/>
  <c r="Q18"/>
  <c r="Q19"/>
  <c r="Q23"/>
  <c r="Q24"/>
  <c r="Q25"/>
  <c r="Q26"/>
  <c r="Q10"/>
  <c r="Q10" i="22"/>
  <c r="Q11"/>
  <c r="Q12"/>
  <c r="Q13"/>
  <c r="Q14"/>
  <c r="Q15"/>
  <c r="Q16"/>
  <c r="Q17"/>
  <c r="Q18"/>
  <c r="Q19"/>
  <c r="Q20"/>
  <c r="Q21"/>
  <c r="Q22"/>
  <c r="Q25"/>
  <c r="Q27"/>
  <c r="Q28"/>
  <c r="Q9"/>
  <c r="Q10" i="21"/>
  <c r="Q11"/>
  <c r="Q12"/>
  <c r="Q13"/>
  <c r="Q14"/>
  <c r="Q15"/>
  <c r="Q16"/>
  <c r="Q17"/>
  <c r="Q18"/>
  <c r="Q19"/>
  <c r="Q20"/>
  <c r="Q21"/>
  <c r="Q22"/>
  <c r="Q25"/>
  <c r="Q27"/>
  <c r="Q28"/>
  <c r="Q9"/>
  <c r="Q10" i="20"/>
  <c r="Q11"/>
  <c r="Q12"/>
  <c r="Q13"/>
  <c r="Q14"/>
  <c r="Q15"/>
  <c r="Q16"/>
  <c r="Q17"/>
  <c r="Q18"/>
  <c r="Q19"/>
  <c r="Q20"/>
  <c r="Q21"/>
  <c r="Q22"/>
  <c r="Q24"/>
  <c r="Q26"/>
  <c r="Q27"/>
  <c r="Q9"/>
  <c r="Q11" i="18"/>
  <c r="Q12"/>
  <c r="Q13"/>
  <c r="Q14"/>
  <c r="Q15"/>
  <c r="Q16"/>
  <c r="Q17"/>
  <c r="Q18"/>
  <c r="Q19"/>
  <c r="Q20"/>
  <c r="Q21"/>
  <c r="Q22"/>
  <c r="Q23"/>
  <c r="Q24"/>
  <c r="Q25"/>
  <c r="Q26"/>
  <c r="Q10"/>
  <c r="Q10" i="17"/>
  <c r="Q11"/>
  <c r="Q12"/>
  <c r="Q13"/>
  <c r="Q14"/>
  <c r="Q15"/>
  <c r="Q16"/>
  <c r="Q17"/>
  <c r="Q20"/>
  <c r="Q21"/>
  <c r="Q22"/>
  <c r="Q25"/>
  <c r="Q27"/>
  <c r="Q28"/>
  <c r="Q9"/>
  <c r="Q10" i="16"/>
  <c r="Q11"/>
  <c r="Q12"/>
  <c r="Q13"/>
  <c r="Q14"/>
  <c r="Q15"/>
  <c r="Q16"/>
  <c r="Q17"/>
  <c r="Q20"/>
  <c r="Q21"/>
  <c r="Q22"/>
  <c r="Q25"/>
  <c r="Q27"/>
  <c r="Q28"/>
  <c r="Q9"/>
  <c r="Q10" i="15"/>
  <c r="Q11"/>
  <c r="Q12"/>
  <c r="Q13"/>
  <c r="Q14"/>
  <c r="Q15"/>
  <c r="Q16"/>
  <c r="Q17"/>
  <c r="Q18"/>
  <c r="Q19"/>
  <c r="Q20"/>
  <c r="Q21"/>
  <c r="Q22"/>
  <c r="Q25"/>
  <c r="Q27"/>
  <c r="Q28"/>
  <c r="Q9"/>
  <c r="Q10" i="14"/>
  <c r="Q11"/>
  <c r="Q12"/>
  <c r="Q13"/>
  <c r="Q14"/>
  <c r="Q15"/>
  <c r="Q16"/>
  <c r="Q17"/>
  <c r="Q18"/>
  <c r="Q19"/>
  <c r="Q20"/>
  <c r="Q21"/>
  <c r="Q22"/>
  <c r="Q25"/>
  <c r="Q27"/>
  <c r="Q28"/>
  <c r="Q9"/>
  <c r="Q10" i="13"/>
  <c r="Q11"/>
  <c r="Q12"/>
  <c r="Q13"/>
  <c r="Q14"/>
  <c r="Q15"/>
  <c r="Q16"/>
  <c r="Q17"/>
  <c r="Q18"/>
  <c r="Q19"/>
  <c r="Q20"/>
  <c r="Q21"/>
  <c r="Q22"/>
  <c r="Q25"/>
  <c r="Q27"/>
  <c r="Q28"/>
  <c r="Q9"/>
  <c r="Q10" i="12"/>
  <c r="Q11"/>
  <c r="Q12"/>
  <c r="Q13"/>
  <c r="Q14"/>
  <c r="Q15"/>
  <c r="Q16"/>
  <c r="Q17"/>
  <c r="Q18"/>
  <c r="Q19"/>
  <c r="Q20"/>
  <c r="Q21"/>
  <c r="Q22"/>
  <c r="Q25"/>
  <c r="Q27"/>
  <c r="Q28"/>
  <c r="Q9"/>
  <c r="Q10" i="11"/>
  <c r="Q11"/>
  <c r="Q12"/>
  <c r="Q13"/>
  <c r="Q14"/>
  <c r="Q15"/>
  <c r="Q16"/>
  <c r="Q17"/>
  <c r="Q18"/>
  <c r="Q19"/>
  <c r="Q20"/>
  <c r="Q21"/>
  <c r="Q22"/>
  <c r="Q25"/>
  <c r="Q27"/>
  <c r="Q28"/>
  <c r="Q9"/>
  <c r="Q10" i="10"/>
  <c r="Q11"/>
  <c r="Q12"/>
  <c r="Q13"/>
  <c r="Q14"/>
  <c r="Q15"/>
  <c r="Q16"/>
  <c r="Q17"/>
  <c r="Q18"/>
  <c r="Q19"/>
  <c r="Q20"/>
  <c r="Q21"/>
  <c r="Q22"/>
  <c r="Q25"/>
  <c r="Q27"/>
  <c r="Q28"/>
  <c r="Q9"/>
  <c r="Q10" i="9"/>
  <c r="Q11"/>
  <c r="Q12"/>
  <c r="Q13"/>
  <c r="Q14"/>
  <c r="Q15"/>
  <c r="Q16"/>
  <c r="Q17"/>
  <c r="Q18"/>
  <c r="Q19"/>
  <c r="Q20"/>
  <c r="Q21"/>
  <c r="Q22"/>
  <c r="Q25"/>
  <c r="Q27"/>
  <c r="Q28"/>
  <c r="Q9"/>
  <c r="Q10" i="8"/>
  <c r="Q11"/>
  <c r="Q12"/>
  <c r="Q13"/>
  <c r="Q14"/>
  <c r="Q15"/>
  <c r="Q16"/>
  <c r="Q17"/>
  <c r="Q18"/>
  <c r="Q19"/>
  <c r="Q20"/>
  <c r="Q21"/>
  <c r="Q22"/>
  <c r="Q9"/>
  <c r="Q10" i="7"/>
  <c r="Q11"/>
  <c r="Q12"/>
  <c r="Q13"/>
  <c r="Q14"/>
  <c r="Q15"/>
  <c r="Q16"/>
  <c r="Q17"/>
  <c r="Q18"/>
  <c r="Q19"/>
  <c r="Q20"/>
  <c r="Q21"/>
  <c r="Q22"/>
  <c r="Q25"/>
  <c r="Q27"/>
  <c r="Q28"/>
  <c r="Q9"/>
  <c r="Q10" i="6"/>
  <c r="Q11"/>
  <c r="Q12"/>
  <c r="Q13"/>
  <c r="Q14"/>
  <c r="Q15"/>
  <c r="Q16"/>
  <c r="Q17"/>
  <c r="Q18"/>
  <c r="Q19"/>
  <c r="Q20"/>
  <c r="Q21"/>
  <c r="Q22"/>
  <c r="Q25"/>
  <c r="Q27"/>
  <c r="Q28"/>
  <c r="Q9"/>
  <c r="Q12" i="5"/>
  <c r="Q13"/>
  <c r="Q14"/>
  <c r="Q15"/>
  <c r="Q16"/>
  <c r="Q17"/>
  <c r="Q18"/>
  <c r="Q19"/>
  <c r="Q20"/>
  <c r="Q21"/>
  <c r="Q22"/>
  <c r="Q24"/>
  <c r="Q26"/>
  <c r="Q27"/>
  <c r="Q10" i="4"/>
  <c r="Q11"/>
  <c r="Q12"/>
  <c r="Q13"/>
  <c r="Q14"/>
  <c r="Q15"/>
  <c r="Q16"/>
  <c r="Q17"/>
  <c r="Q18"/>
  <c r="Q19"/>
  <c r="Q20"/>
  <c r="Q21"/>
  <c r="Q22"/>
  <c r="Q25"/>
  <c r="Q27"/>
  <c r="Q28"/>
  <c r="Q9"/>
  <c r="N11" i="24"/>
  <c r="N12"/>
  <c r="N13"/>
  <c r="N14"/>
  <c r="N16"/>
  <c r="N17"/>
  <c r="N18"/>
  <c r="N19"/>
  <c r="N20"/>
  <c r="N21"/>
  <c r="N22"/>
  <c r="N23"/>
  <c r="N24"/>
  <c r="N25"/>
  <c r="N26"/>
  <c r="N10"/>
  <c r="N11" i="23"/>
  <c r="N12"/>
  <c r="N13"/>
  <c r="N14"/>
  <c r="N16"/>
  <c r="N17"/>
  <c r="N18"/>
  <c r="N19"/>
  <c r="N20"/>
  <c r="N21"/>
  <c r="N22"/>
  <c r="N23"/>
  <c r="N24"/>
  <c r="N25"/>
  <c r="N26"/>
  <c r="N10"/>
  <c r="N10" i="22"/>
  <c r="N11"/>
  <c r="N12"/>
  <c r="N13"/>
  <c r="N15"/>
  <c r="N16"/>
  <c r="N17"/>
  <c r="N18"/>
  <c r="N19"/>
  <c r="N20"/>
  <c r="N21"/>
  <c r="N22"/>
  <c r="N25"/>
  <c r="N27"/>
  <c r="N28"/>
  <c r="N9"/>
  <c r="N10" i="21"/>
  <c r="N11"/>
  <c r="N12"/>
  <c r="N13"/>
  <c r="N15"/>
  <c r="N16"/>
  <c r="N17"/>
  <c r="N18"/>
  <c r="N19"/>
  <c r="N20"/>
  <c r="N21"/>
  <c r="N22"/>
  <c r="N25"/>
  <c r="N27"/>
  <c r="N28"/>
  <c r="N9"/>
  <c r="N10" i="20"/>
  <c r="N11"/>
  <c r="N12"/>
  <c r="N13"/>
  <c r="N15"/>
  <c r="N16"/>
  <c r="N17"/>
  <c r="N18"/>
  <c r="N19"/>
  <c r="N20"/>
  <c r="N21"/>
  <c r="N22"/>
  <c r="N24"/>
  <c r="N26"/>
  <c r="N27"/>
  <c r="N9"/>
  <c r="N11" i="18"/>
  <c r="N12"/>
  <c r="N13"/>
  <c r="N14"/>
  <c r="N16"/>
  <c r="N17"/>
  <c r="N18"/>
  <c r="N19"/>
  <c r="N20"/>
  <c r="N21"/>
  <c r="N22"/>
  <c r="N23"/>
  <c r="N24"/>
  <c r="N25"/>
  <c r="N26"/>
  <c r="N10"/>
  <c r="N10" i="17"/>
  <c r="N11"/>
  <c r="N12"/>
  <c r="N13"/>
  <c r="N15"/>
  <c r="N16"/>
  <c r="N17"/>
  <c r="N18"/>
  <c r="N19"/>
  <c r="N20"/>
  <c r="N21"/>
  <c r="N22"/>
  <c r="N25"/>
  <c r="N27"/>
  <c r="N28"/>
  <c r="N9"/>
  <c r="N10" i="16"/>
  <c r="N11"/>
  <c r="N12"/>
  <c r="N13"/>
  <c r="N15"/>
  <c r="N16"/>
  <c r="N17"/>
  <c r="N18"/>
  <c r="N19"/>
  <c r="N20"/>
  <c r="N21"/>
  <c r="N22"/>
  <c r="N25"/>
  <c r="N27"/>
  <c r="N28"/>
  <c r="N9"/>
  <c r="N10" i="15"/>
  <c r="N11"/>
  <c r="N12"/>
  <c r="N13"/>
  <c r="N15"/>
  <c r="N16"/>
  <c r="N17"/>
  <c r="N18"/>
  <c r="N19"/>
  <c r="N20"/>
  <c r="N21"/>
  <c r="N22"/>
  <c r="N25"/>
  <c r="N27"/>
  <c r="N28"/>
  <c r="N9"/>
  <c r="N10" i="14"/>
  <c r="N11"/>
  <c r="N12"/>
  <c r="N13"/>
  <c r="N15"/>
  <c r="N16"/>
  <c r="N17"/>
  <c r="N18"/>
  <c r="N19"/>
  <c r="N20"/>
  <c r="N21"/>
  <c r="N22"/>
  <c r="N25"/>
  <c r="N27"/>
  <c r="N28"/>
  <c r="N9"/>
  <c r="N10" i="13"/>
  <c r="N11"/>
  <c r="N12"/>
  <c r="N13"/>
  <c r="N15"/>
  <c r="N16"/>
  <c r="N17"/>
  <c r="N18"/>
  <c r="N19"/>
  <c r="N20"/>
  <c r="N21"/>
  <c r="N22"/>
  <c r="N25"/>
  <c r="N27"/>
  <c r="N28"/>
  <c r="N9"/>
  <c r="N10" i="12"/>
  <c r="N11"/>
  <c r="N12"/>
  <c r="N13"/>
  <c r="N15"/>
  <c r="N16"/>
  <c r="N17"/>
  <c r="N18"/>
  <c r="N19"/>
  <c r="N20"/>
  <c r="N21"/>
  <c r="N22"/>
  <c r="N25"/>
  <c r="N27"/>
  <c r="N28"/>
  <c r="N9"/>
  <c r="N10" i="11"/>
  <c r="N11"/>
  <c r="N12"/>
  <c r="N13"/>
  <c r="N15"/>
  <c r="N16"/>
  <c r="N17"/>
  <c r="N18"/>
  <c r="N19"/>
  <c r="N20"/>
  <c r="N21"/>
  <c r="N22"/>
  <c r="N25"/>
  <c r="N27"/>
  <c r="N28"/>
  <c r="N9"/>
  <c r="N10" i="10"/>
  <c r="N11"/>
  <c r="N12"/>
  <c r="N13"/>
  <c r="N15"/>
  <c r="N16"/>
  <c r="N17"/>
  <c r="N18"/>
  <c r="N19"/>
  <c r="N20"/>
  <c r="N21"/>
  <c r="N22"/>
  <c r="N25"/>
  <c r="N27"/>
  <c r="N28"/>
  <c r="N9"/>
  <c r="N10" i="9"/>
  <c r="N11"/>
  <c r="N12"/>
  <c r="N13"/>
  <c r="N15"/>
  <c r="N16"/>
  <c r="N17"/>
  <c r="N18"/>
  <c r="N19"/>
  <c r="N20"/>
  <c r="N21"/>
  <c r="N22"/>
  <c r="N25"/>
  <c r="N27"/>
  <c r="N28"/>
  <c r="N9"/>
  <c r="N10" i="8"/>
  <c r="N11"/>
  <c r="N12"/>
  <c r="N13"/>
  <c r="N15"/>
  <c r="N16"/>
  <c r="N17"/>
  <c r="N18"/>
  <c r="N19"/>
  <c r="N20"/>
  <c r="N21"/>
  <c r="N22"/>
  <c r="N9"/>
  <c r="N10" i="7"/>
  <c r="N11"/>
  <c r="N12"/>
  <c r="N13"/>
  <c r="N15"/>
  <c r="N16"/>
  <c r="N17"/>
  <c r="N18"/>
  <c r="N19"/>
  <c r="N20"/>
  <c r="N21"/>
  <c r="N22"/>
  <c r="N25"/>
  <c r="N27"/>
  <c r="N28"/>
  <c r="N9"/>
  <c r="N10" i="6"/>
  <c r="N11"/>
  <c r="N12"/>
  <c r="N13"/>
  <c r="N15"/>
  <c r="N16"/>
  <c r="N17"/>
  <c r="N18"/>
  <c r="N19"/>
  <c r="N20"/>
  <c r="N21"/>
  <c r="N22"/>
  <c r="N25"/>
  <c r="N27"/>
  <c r="N28"/>
  <c r="N9"/>
  <c r="N12" i="5"/>
  <c r="N13"/>
  <c r="N15"/>
  <c r="N16"/>
  <c r="N17"/>
  <c r="N18"/>
  <c r="N19"/>
  <c r="N20"/>
  <c r="N21"/>
  <c r="N22"/>
  <c r="N24"/>
  <c r="N26"/>
  <c r="N27"/>
  <c r="N10" i="4"/>
  <c r="N11"/>
  <c r="N11" i="25" s="1"/>
  <c r="N12" i="4"/>
  <c r="N13"/>
  <c r="N15"/>
  <c r="N16"/>
  <c r="N17"/>
  <c r="N18"/>
  <c r="N19"/>
  <c r="N20"/>
  <c r="N21"/>
  <c r="N22"/>
  <c r="N25"/>
  <c r="N27"/>
  <c r="N28"/>
  <c r="N9"/>
  <c r="K10"/>
  <c r="K11"/>
  <c r="K12"/>
  <c r="K13"/>
  <c r="K15"/>
  <c r="K16"/>
  <c r="K17"/>
  <c r="K18"/>
  <c r="K19"/>
  <c r="K20"/>
  <c r="K21"/>
  <c r="K22"/>
  <c r="K25"/>
  <c r="K27"/>
  <c r="K28"/>
  <c r="K9"/>
  <c r="K12" i="5"/>
  <c r="K13"/>
  <c r="K15"/>
  <c r="K16"/>
  <c r="K17"/>
  <c r="K18"/>
  <c r="K19"/>
  <c r="K20"/>
  <c r="K21"/>
  <c r="K22"/>
  <c r="K24"/>
  <c r="K26"/>
  <c r="K27"/>
  <c r="K10" i="6"/>
  <c r="K11"/>
  <c r="K12"/>
  <c r="K13"/>
  <c r="K15"/>
  <c r="K16"/>
  <c r="K17"/>
  <c r="K18"/>
  <c r="K19"/>
  <c r="K20"/>
  <c r="K21"/>
  <c r="K22"/>
  <c r="K25"/>
  <c r="K27"/>
  <c r="K28"/>
  <c r="K9"/>
  <c r="K10" i="7"/>
  <c r="K11"/>
  <c r="K12"/>
  <c r="K13"/>
  <c r="K15"/>
  <c r="K16"/>
  <c r="K17"/>
  <c r="K18"/>
  <c r="K19"/>
  <c r="K20"/>
  <c r="K21"/>
  <c r="K22"/>
  <c r="K25"/>
  <c r="K27"/>
  <c r="K28"/>
  <c r="K9"/>
  <c r="K10" i="8"/>
  <c r="K11"/>
  <c r="K12"/>
  <c r="K13"/>
  <c r="K15"/>
  <c r="K16"/>
  <c r="K17"/>
  <c r="K18"/>
  <c r="K19"/>
  <c r="K20"/>
  <c r="K21"/>
  <c r="K22"/>
  <c r="K9"/>
  <c r="K10" i="9"/>
  <c r="K11"/>
  <c r="K12"/>
  <c r="K13"/>
  <c r="K15"/>
  <c r="K16"/>
  <c r="K17"/>
  <c r="K18"/>
  <c r="K19"/>
  <c r="K20"/>
  <c r="K21"/>
  <c r="K22"/>
  <c r="K25"/>
  <c r="K27"/>
  <c r="K28"/>
  <c r="K9"/>
  <c r="K10" i="10"/>
  <c r="K11"/>
  <c r="K12"/>
  <c r="K13"/>
  <c r="K15"/>
  <c r="K16"/>
  <c r="K17"/>
  <c r="K18"/>
  <c r="K19"/>
  <c r="K20"/>
  <c r="K21"/>
  <c r="K22"/>
  <c r="K25"/>
  <c r="K27"/>
  <c r="K28"/>
  <c r="K9"/>
  <c r="K10" i="11"/>
  <c r="K11"/>
  <c r="K12"/>
  <c r="K13"/>
  <c r="K15"/>
  <c r="K16"/>
  <c r="K17"/>
  <c r="K18"/>
  <c r="K19"/>
  <c r="K20"/>
  <c r="K21"/>
  <c r="K22"/>
  <c r="K25"/>
  <c r="K27"/>
  <c r="K28"/>
  <c r="K9"/>
  <c r="K10" i="12"/>
  <c r="K11"/>
  <c r="K12"/>
  <c r="K13"/>
  <c r="K15"/>
  <c r="K16"/>
  <c r="K17"/>
  <c r="K18"/>
  <c r="K19"/>
  <c r="K20"/>
  <c r="K21"/>
  <c r="K22"/>
  <c r="K25"/>
  <c r="K27"/>
  <c r="K28"/>
  <c r="K9"/>
  <c r="K10" i="13"/>
  <c r="K11"/>
  <c r="K12"/>
  <c r="K13"/>
  <c r="K15"/>
  <c r="K16"/>
  <c r="K17"/>
  <c r="K18"/>
  <c r="K19"/>
  <c r="K20"/>
  <c r="K21"/>
  <c r="K22"/>
  <c r="K25"/>
  <c r="K27"/>
  <c r="K28"/>
  <c r="K9"/>
  <c r="K10" i="14"/>
  <c r="K11"/>
  <c r="K12"/>
  <c r="K13"/>
  <c r="K15"/>
  <c r="K16"/>
  <c r="K17"/>
  <c r="K18"/>
  <c r="K19"/>
  <c r="K20"/>
  <c r="K21"/>
  <c r="K22"/>
  <c r="K25"/>
  <c r="K27"/>
  <c r="K28"/>
  <c r="K9"/>
  <c r="K10" i="15"/>
  <c r="K11"/>
  <c r="K12"/>
  <c r="K13"/>
  <c r="K15"/>
  <c r="K16"/>
  <c r="K17"/>
  <c r="K18"/>
  <c r="K19"/>
  <c r="K20"/>
  <c r="K21"/>
  <c r="K22"/>
  <c r="AO22" s="1"/>
  <c r="K25"/>
  <c r="K27"/>
  <c r="K28"/>
  <c r="K9"/>
  <c r="K10" i="16"/>
  <c r="K11"/>
  <c r="K12"/>
  <c r="K13"/>
  <c r="K15"/>
  <c r="K16"/>
  <c r="K17"/>
  <c r="K18"/>
  <c r="K19"/>
  <c r="K20"/>
  <c r="K21"/>
  <c r="K22"/>
  <c r="K25"/>
  <c r="K27"/>
  <c r="K28"/>
  <c r="K9"/>
  <c r="K10" i="17"/>
  <c r="K11"/>
  <c r="K12"/>
  <c r="K13"/>
  <c r="K15"/>
  <c r="K16"/>
  <c r="K17"/>
  <c r="K18"/>
  <c r="K19"/>
  <c r="K20"/>
  <c r="K21"/>
  <c r="K22"/>
  <c r="K25"/>
  <c r="K27"/>
  <c r="K28"/>
  <c r="K9"/>
  <c r="K11" i="18"/>
  <c r="K12"/>
  <c r="K13"/>
  <c r="K14"/>
  <c r="K16"/>
  <c r="AO16" s="1"/>
  <c r="K17"/>
  <c r="K18"/>
  <c r="K19"/>
  <c r="K20"/>
  <c r="AO20" s="1"/>
  <c r="K21"/>
  <c r="K22"/>
  <c r="K23"/>
  <c r="K24"/>
  <c r="K25"/>
  <c r="K26"/>
  <c r="K10"/>
  <c r="K10" i="20"/>
  <c r="K11"/>
  <c r="K12"/>
  <c r="K13"/>
  <c r="K15"/>
  <c r="K16"/>
  <c r="K17"/>
  <c r="K18"/>
  <c r="K19"/>
  <c r="K20"/>
  <c r="K21"/>
  <c r="K22"/>
  <c r="K24"/>
  <c r="K26"/>
  <c r="K27"/>
  <c r="K9"/>
  <c r="K10" i="21"/>
  <c r="K11"/>
  <c r="K12"/>
  <c r="K13"/>
  <c r="K15"/>
  <c r="K16"/>
  <c r="K17"/>
  <c r="K18"/>
  <c r="K19"/>
  <c r="K20"/>
  <c r="K21"/>
  <c r="K22"/>
  <c r="K25"/>
  <c r="K27"/>
  <c r="K28"/>
  <c r="K9"/>
  <c r="K10" i="22"/>
  <c r="K11"/>
  <c r="K12"/>
  <c r="K13"/>
  <c r="K15"/>
  <c r="K16"/>
  <c r="K17"/>
  <c r="K18"/>
  <c r="K19"/>
  <c r="K20"/>
  <c r="K21"/>
  <c r="K22"/>
  <c r="K25"/>
  <c r="K27"/>
  <c r="K28"/>
  <c r="K9"/>
  <c r="K11" i="23"/>
  <c r="K12"/>
  <c r="K13"/>
  <c r="K14"/>
  <c r="K16"/>
  <c r="K17"/>
  <c r="K18"/>
  <c r="K19"/>
  <c r="K20"/>
  <c r="K21"/>
  <c r="K22"/>
  <c r="K23"/>
  <c r="K24"/>
  <c r="K25"/>
  <c r="K26"/>
  <c r="K10"/>
  <c r="K11" i="24"/>
  <c r="K12"/>
  <c r="K13"/>
  <c r="K14"/>
  <c r="K16"/>
  <c r="K17"/>
  <c r="K18"/>
  <c r="K19"/>
  <c r="K20"/>
  <c r="K21"/>
  <c r="K22"/>
  <c r="K23"/>
  <c r="K24"/>
  <c r="K25"/>
  <c r="K26"/>
  <c r="K10"/>
  <c r="H10" i="10"/>
  <c r="H11" i="24"/>
  <c r="H12"/>
  <c r="H13"/>
  <c r="H14"/>
  <c r="H15"/>
  <c r="H16"/>
  <c r="H17"/>
  <c r="H18"/>
  <c r="H19"/>
  <c r="H20"/>
  <c r="H21"/>
  <c r="H22"/>
  <c r="H23"/>
  <c r="H24"/>
  <c r="H25"/>
  <c r="H26"/>
  <c r="H10"/>
  <c r="H11" i="23"/>
  <c r="H12"/>
  <c r="H13"/>
  <c r="H14"/>
  <c r="H15"/>
  <c r="H16"/>
  <c r="H17"/>
  <c r="H18"/>
  <c r="H19"/>
  <c r="H20"/>
  <c r="H21"/>
  <c r="H22"/>
  <c r="H23"/>
  <c r="H24"/>
  <c r="H25"/>
  <c r="H26"/>
  <c r="H10"/>
  <c r="H10" i="22"/>
  <c r="H11"/>
  <c r="H12"/>
  <c r="H13"/>
  <c r="H14"/>
  <c r="H15"/>
  <c r="H16"/>
  <c r="H17"/>
  <c r="H18"/>
  <c r="H19"/>
  <c r="H20"/>
  <c r="H21"/>
  <c r="H22"/>
  <c r="H25"/>
  <c r="H27"/>
  <c r="H28"/>
  <c r="H9"/>
  <c r="H10" i="21"/>
  <c r="H11"/>
  <c r="H12"/>
  <c r="H13"/>
  <c r="H14"/>
  <c r="H15"/>
  <c r="H16"/>
  <c r="H17"/>
  <c r="H18"/>
  <c r="H19"/>
  <c r="H20"/>
  <c r="H21"/>
  <c r="H22"/>
  <c r="H25"/>
  <c r="H27"/>
  <c r="H28"/>
  <c r="H9"/>
  <c r="H10" i="20"/>
  <c r="H11"/>
  <c r="H12"/>
  <c r="H13"/>
  <c r="H14"/>
  <c r="H15"/>
  <c r="H16"/>
  <c r="H17"/>
  <c r="H18"/>
  <c r="H19"/>
  <c r="H20"/>
  <c r="H21"/>
  <c r="H22"/>
  <c r="H24"/>
  <c r="H26"/>
  <c r="H27"/>
  <c r="H9"/>
  <c r="H11" i="18"/>
  <c r="H12"/>
  <c r="H13"/>
  <c r="H14"/>
  <c r="AO14" s="1"/>
  <c r="H15"/>
  <c r="H16"/>
  <c r="H17"/>
  <c r="H18"/>
  <c r="H19"/>
  <c r="H20"/>
  <c r="H21"/>
  <c r="H22"/>
  <c r="H23"/>
  <c r="H24"/>
  <c r="H25"/>
  <c r="H26"/>
  <c r="H10"/>
  <c r="H10" i="17"/>
  <c r="H11"/>
  <c r="H12"/>
  <c r="H13"/>
  <c r="H14"/>
  <c r="H15"/>
  <c r="H16"/>
  <c r="H17"/>
  <c r="H18"/>
  <c r="H19"/>
  <c r="H20"/>
  <c r="H21"/>
  <c r="H22"/>
  <c r="H25"/>
  <c r="H27"/>
  <c r="H28"/>
  <c r="H9"/>
  <c r="H10" i="16"/>
  <c r="H11"/>
  <c r="H12"/>
  <c r="H13"/>
  <c r="H14"/>
  <c r="H15"/>
  <c r="H16"/>
  <c r="H17"/>
  <c r="H18"/>
  <c r="H19"/>
  <c r="H20"/>
  <c r="H21"/>
  <c r="H22"/>
  <c r="H25"/>
  <c r="H27"/>
  <c r="H28"/>
  <c r="H9"/>
  <c r="H10" i="15"/>
  <c r="H11"/>
  <c r="H12"/>
  <c r="H13"/>
  <c r="H14"/>
  <c r="H15"/>
  <c r="H16"/>
  <c r="H17"/>
  <c r="H18"/>
  <c r="H19"/>
  <c r="H20"/>
  <c r="H21"/>
  <c r="H22"/>
  <c r="H25"/>
  <c r="H27"/>
  <c r="H28"/>
  <c r="H9"/>
  <c r="H10" i="14"/>
  <c r="H11"/>
  <c r="H12"/>
  <c r="H13"/>
  <c r="H14"/>
  <c r="H15"/>
  <c r="H16"/>
  <c r="H17"/>
  <c r="H18"/>
  <c r="H19"/>
  <c r="H20"/>
  <c r="H21"/>
  <c r="H22"/>
  <c r="H25"/>
  <c r="H27"/>
  <c r="H28"/>
  <c r="H9"/>
  <c r="H10" i="13"/>
  <c r="H11"/>
  <c r="H12"/>
  <c r="H13"/>
  <c r="H14"/>
  <c r="H15"/>
  <c r="H16"/>
  <c r="H17"/>
  <c r="H18"/>
  <c r="H19"/>
  <c r="H20"/>
  <c r="H21"/>
  <c r="H22"/>
  <c r="H25"/>
  <c r="H27"/>
  <c r="H28"/>
  <c r="H9"/>
  <c r="H10" i="12"/>
  <c r="H11"/>
  <c r="H12"/>
  <c r="H13"/>
  <c r="H15"/>
  <c r="H16"/>
  <c r="H17"/>
  <c r="H18"/>
  <c r="H19"/>
  <c r="H20"/>
  <c r="H21"/>
  <c r="H22"/>
  <c r="H25"/>
  <c r="H27"/>
  <c r="H28"/>
  <c r="H9"/>
  <c r="H10" i="11"/>
  <c r="H11"/>
  <c r="H12"/>
  <c r="H13"/>
  <c r="H14"/>
  <c r="H15"/>
  <c r="H16"/>
  <c r="H17"/>
  <c r="H18"/>
  <c r="H19"/>
  <c r="H20"/>
  <c r="H21"/>
  <c r="H25"/>
  <c r="H27"/>
  <c r="H28"/>
  <c r="H9"/>
  <c r="H11" i="10"/>
  <c r="H12"/>
  <c r="H13"/>
  <c r="H14"/>
  <c r="H15"/>
  <c r="H16"/>
  <c r="H17"/>
  <c r="H18"/>
  <c r="H19"/>
  <c r="H20"/>
  <c r="H21"/>
  <c r="H22"/>
  <c r="H25"/>
  <c r="H27"/>
  <c r="H28"/>
  <c r="H9"/>
  <c r="H10" i="9"/>
  <c r="H11"/>
  <c r="H12"/>
  <c r="H13"/>
  <c r="H14"/>
  <c r="H15"/>
  <c r="H16"/>
  <c r="H17"/>
  <c r="H18"/>
  <c r="H19"/>
  <c r="H20"/>
  <c r="H21"/>
  <c r="H22"/>
  <c r="H25"/>
  <c r="H27"/>
  <c r="H28"/>
  <c r="H9"/>
  <c r="H10" i="8"/>
  <c r="H11"/>
  <c r="H12"/>
  <c r="H13"/>
  <c r="H14"/>
  <c r="H15"/>
  <c r="H16"/>
  <c r="H17"/>
  <c r="H18"/>
  <c r="H19"/>
  <c r="H20"/>
  <c r="H21"/>
  <c r="H22"/>
  <c r="H9"/>
  <c r="H10" i="7"/>
  <c r="H11"/>
  <c r="H12"/>
  <c r="H13"/>
  <c r="H14"/>
  <c r="H15"/>
  <c r="H16"/>
  <c r="H17"/>
  <c r="H18"/>
  <c r="H19"/>
  <c r="H20"/>
  <c r="H21"/>
  <c r="H22"/>
  <c r="H25"/>
  <c r="H27"/>
  <c r="H28"/>
  <c r="H9"/>
  <c r="H10" i="6"/>
  <c r="H11"/>
  <c r="H12"/>
  <c r="H13"/>
  <c r="H14"/>
  <c r="H15"/>
  <c r="H16"/>
  <c r="H17"/>
  <c r="H18"/>
  <c r="H19"/>
  <c r="H20"/>
  <c r="H21"/>
  <c r="H22"/>
  <c r="H25"/>
  <c r="H27"/>
  <c r="H28"/>
  <c r="H9"/>
  <c r="H12" i="5"/>
  <c r="H13"/>
  <c r="H14"/>
  <c r="H15"/>
  <c r="H16"/>
  <c r="H17"/>
  <c r="H18"/>
  <c r="H19"/>
  <c r="H20"/>
  <c r="H21"/>
  <c r="H22"/>
  <c r="H24"/>
  <c r="H26"/>
  <c r="H27"/>
  <c r="H10" i="4"/>
  <c r="H11"/>
  <c r="H12"/>
  <c r="H13"/>
  <c r="H14"/>
  <c r="H15"/>
  <c r="H16"/>
  <c r="H17"/>
  <c r="H18"/>
  <c r="H19"/>
  <c r="H20"/>
  <c r="H21"/>
  <c r="H22"/>
  <c r="H25"/>
  <c r="H27"/>
  <c r="H28"/>
  <c r="H9"/>
  <c r="E11" i="24"/>
  <c r="E12"/>
  <c r="E13"/>
  <c r="E14"/>
  <c r="E15"/>
  <c r="E16"/>
  <c r="E17"/>
  <c r="E18"/>
  <c r="E19"/>
  <c r="E20"/>
  <c r="E21"/>
  <c r="E22"/>
  <c r="E23"/>
  <c r="E24"/>
  <c r="E25"/>
  <c r="E26"/>
  <c r="E10"/>
  <c r="E11" i="23"/>
  <c r="E12"/>
  <c r="E13"/>
  <c r="E14"/>
  <c r="E15"/>
  <c r="E16"/>
  <c r="E17"/>
  <c r="E18"/>
  <c r="E19"/>
  <c r="E20"/>
  <c r="E21"/>
  <c r="E22"/>
  <c r="E23"/>
  <c r="E24"/>
  <c r="E25"/>
  <c r="E26"/>
  <c r="E10"/>
  <c r="E10" i="22"/>
  <c r="E11"/>
  <c r="E12"/>
  <c r="E13"/>
  <c r="E14"/>
  <c r="E15"/>
  <c r="E16"/>
  <c r="E17"/>
  <c r="E18"/>
  <c r="E19"/>
  <c r="E20"/>
  <c r="E21"/>
  <c r="E22"/>
  <c r="E25"/>
  <c r="E27"/>
  <c r="E28"/>
  <c r="E9"/>
  <c r="E10" i="21"/>
  <c r="E11"/>
  <c r="E12"/>
  <c r="E13"/>
  <c r="E14"/>
  <c r="E15"/>
  <c r="E16"/>
  <c r="E17"/>
  <c r="E18"/>
  <c r="E19"/>
  <c r="E20"/>
  <c r="E21"/>
  <c r="E22"/>
  <c r="E25"/>
  <c r="E27"/>
  <c r="E28"/>
  <c r="E9"/>
  <c r="E10" i="20"/>
  <c r="E11"/>
  <c r="E12"/>
  <c r="E13"/>
  <c r="E14"/>
  <c r="E15"/>
  <c r="E16"/>
  <c r="E17"/>
  <c r="E18"/>
  <c r="E19"/>
  <c r="E20"/>
  <c r="E21"/>
  <c r="E22"/>
  <c r="E24"/>
  <c r="E26"/>
  <c r="E27"/>
  <c r="E9"/>
  <c r="E11" i="18"/>
  <c r="E12"/>
  <c r="E13"/>
  <c r="E14"/>
  <c r="E15"/>
  <c r="E16"/>
  <c r="E17"/>
  <c r="E18"/>
  <c r="E19"/>
  <c r="E20"/>
  <c r="E21"/>
  <c r="E22"/>
  <c r="E23"/>
  <c r="E24"/>
  <c r="E25"/>
  <c r="E26"/>
  <c r="E10"/>
  <c r="E11" i="17"/>
  <c r="E12"/>
  <c r="E13"/>
  <c r="E14"/>
  <c r="E15"/>
  <c r="E16"/>
  <c r="E17"/>
  <c r="E18"/>
  <c r="E19"/>
  <c r="E20"/>
  <c r="E21"/>
  <c r="E22"/>
  <c r="E25"/>
  <c r="E27"/>
  <c r="E28"/>
  <c r="E9"/>
  <c r="AO9" s="1"/>
  <c r="E10" i="16"/>
  <c r="E11"/>
  <c r="E12"/>
  <c r="E13"/>
  <c r="E14"/>
  <c r="E15"/>
  <c r="E16"/>
  <c r="E17"/>
  <c r="E18"/>
  <c r="E19"/>
  <c r="E20"/>
  <c r="E21"/>
  <c r="E22"/>
  <c r="E25"/>
  <c r="E27"/>
  <c r="E28"/>
  <c r="E9"/>
  <c r="E10" i="15"/>
  <c r="E11"/>
  <c r="E12"/>
  <c r="E13"/>
  <c r="E14"/>
  <c r="E15"/>
  <c r="E16"/>
  <c r="E17"/>
  <c r="E18"/>
  <c r="E19"/>
  <c r="E20"/>
  <c r="E21"/>
  <c r="E22"/>
  <c r="E25"/>
  <c r="E27"/>
  <c r="E28"/>
  <c r="E9"/>
  <c r="E10" i="14"/>
  <c r="E11"/>
  <c r="E12"/>
  <c r="E13"/>
  <c r="E14"/>
  <c r="E15"/>
  <c r="E16"/>
  <c r="E17"/>
  <c r="E18"/>
  <c r="E19"/>
  <c r="E20"/>
  <c r="E21"/>
  <c r="E22"/>
  <c r="E25"/>
  <c r="E27"/>
  <c r="E28"/>
  <c r="E9"/>
  <c r="E10" i="13"/>
  <c r="E11"/>
  <c r="E12"/>
  <c r="E13"/>
  <c r="E14"/>
  <c r="E15"/>
  <c r="AO15" s="1"/>
  <c r="E16"/>
  <c r="E17"/>
  <c r="AO17" s="1"/>
  <c r="E18"/>
  <c r="E19"/>
  <c r="E20"/>
  <c r="E21"/>
  <c r="E22"/>
  <c r="E25"/>
  <c r="E27"/>
  <c r="E28"/>
  <c r="E9"/>
  <c r="E10" i="12"/>
  <c r="E11"/>
  <c r="E12"/>
  <c r="AO12" s="1"/>
  <c r="E13"/>
  <c r="E14"/>
  <c r="E15"/>
  <c r="E16"/>
  <c r="E17"/>
  <c r="E18"/>
  <c r="E19"/>
  <c r="E20"/>
  <c r="E21"/>
  <c r="E22"/>
  <c r="E25"/>
  <c r="E27"/>
  <c r="E28"/>
  <c r="E9"/>
  <c r="AO9" s="1"/>
  <c r="E10" i="11"/>
  <c r="AO10" s="1"/>
  <c r="E11"/>
  <c r="E12"/>
  <c r="E13"/>
  <c r="E14"/>
  <c r="E15"/>
  <c r="E16"/>
  <c r="E17"/>
  <c r="E18"/>
  <c r="E19"/>
  <c r="E20"/>
  <c r="E21"/>
  <c r="E22"/>
  <c r="E25"/>
  <c r="E27"/>
  <c r="E28"/>
  <c r="E9"/>
  <c r="AO9" s="1"/>
  <c r="E10" i="10"/>
  <c r="E11"/>
  <c r="E12"/>
  <c r="E13"/>
  <c r="E14"/>
  <c r="E15"/>
  <c r="E16"/>
  <c r="AO16" s="1"/>
  <c r="E17"/>
  <c r="E18"/>
  <c r="AO18" s="1"/>
  <c r="E19"/>
  <c r="E20"/>
  <c r="E21"/>
  <c r="E22"/>
  <c r="E25"/>
  <c r="E27"/>
  <c r="E28"/>
  <c r="E9"/>
  <c r="E10" i="9"/>
  <c r="E11"/>
  <c r="E12"/>
  <c r="E13"/>
  <c r="E14"/>
  <c r="E15"/>
  <c r="E16"/>
  <c r="E17"/>
  <c r="E18"/>
  <c r="E19"/>
  <c r="E20"/>
  <c r="E21"/>
  <c r="E22"/>
  <c r="E25"/>
  <c r="E27"/>
  <c r="E28"/>
  <c r="E9"/>
  <c r="E10" i="8"/>
  <c r="E11"/>
  <c r="E12"/>
  <c r="E13"/>
  <c r="E14"/>
  <c r="E15"/>
  <c r="E16"/>
  <c r="AO16" s="1"/>
  <c r="E17"/>
  <c r="E18"/>
  <c r="E19"/>
  <c r="E20"/>
  <c r="AO20" s="1"/>
  <c r="E21"/>
  <c r="E22"/>
  <c r="AO22" s="1"/>
  <c r="E9"/>
  <c r="E10" i="4"/>
  <c r="E11"/>
  <c r="E12"/>
  <c r="E13"/>
  <c r="E15"/>
  <c r="E16"/>
  <c r="E17"/>
  <c r="E18"/>
  <c r="E19"/>
  <c r="E20"/>
  <c r="E21"/>
  <c r="E22"/>
  <c r="E25"/>
  <c r="E27"/>
  <c r="E28"/>
  <c r="E9"/>
  <c r="AN27" i="24"/>
  <c r="AC27"/>
  <c r="AO27" s="1"/>
  <c r="AN27" i="23"/>
  <c r="AC27"/>
  <c r="AO27"/>
  <c r="AO10"/>
  <c r="AN28" i="20"/>
  <c r="AC28"/>
  <c r="AN27" i="18"/>
  <c r="AC27"/>
  <c r="AO27"/>
  <c r="AO28" i="20"/>
  <c r="AO19" i="24"/>
  <c r="E10" i="7"/>
  <c r="E11"/>
  <c r="E12"/>
  <c r="E13"/>
  <c r="E14"/>
  <c r="E15"/>
  <c r="E16"/>
  <c r="E17"/>
  <c r="E18"/>
  <c r="E19"/>
  <c r="E20"/>
  <c r="E21"/>
  <c r="E22"/>
  <c r="E25"/>
  <c r="E27"/>
  <c r="E28"/>
  <c r="E9"/>
  <c r="E10" i="6"/>
  <c r="E11"/>
  <c r="E12"/>
  <c r="E13"/>
  <c r="E14"/>
  <c r="E15"/>
  <c r="E16"/>
  <c r="E17"/>
  <c r="E18"/>
  <c r="E19"/>
  <c r="E20"/>
  <c r="E21"/>
  <c r="E22"/>
  <c r="E25"/>
  <c r="E27"/>
  <c r="E28"/>
  <c r="E9"/>
  <c r="E12" i="5"/>
  <c r="E13"/>
  <c r="E14"/>
  <c r="E15"/>
  <c r="E16"/>
  <c r="E17"/>
  <c r="E18"/>
  <c r="E19"/>
  <c r="E20"/>
  <c r="E21"/>
  <c r="E22"/>
  <c r="E24"/>
  <c r="E26"/>
  <c r="E27"/>
  <c r="AL28" i="21"/>
  <c r="AL27"/>
  <c r="AL25"/>
  <c r="AL22"/>
  <c r="AL21"/>
  <c r="AL20"/>
  <c r="AL19"/>
  <c r="AL18"/>
  <c r="AL17"/>
  <c r="AL16"/>
  <c r="AL15"/>
  <c r="AL14"/>
  <c r="AL13"/>
  <c r="AL12"/>
  <c r="AL11"/>
  <c r="AL10"/>
  <c r="AL9"/>
  <c r="D28" i="25"/>
  <c r="F28"/>
  <c r="G28"/>
  <c r="I28"/>
  <c r="J28"/>
  <c r="L28"/>
  <c r="M28"/>
  <c r="N28"/>
  <c r="O28"/>
  <c r="P28"/>
  <c r="R28"/>
  <c r="S28"/>
  <c r="U28"/>
  <c r="V28"/>
  <c r="X28"/>
  <c r="Y28"/>
  <c r="AA28"/>
  <c r="AB28"/>
  <c r="AC28"/>
  <c r="AD28"/>
  <c r="AE28"/>
  <c r="AG28"/>
  <c r="AH28"/>
  <c r="AJ28"/>
  <c r="AK28"/>
  <c r="C10"/>
  <c r="D10"/>
  <c r="F10"/>
  <c r="G10"/>
  <c r="I10"/>
  <c r="J10"/>
  <c r="L10"/>
  <c r="M10"/>
  <c r="O10"/>
  <c r="R10"/>
  <c r="S10"/>
  <c r="U10"/>
  <c r="V10"/>
  <c r="X10"/>
  <c r="Y10"/>
  <c r="AA10"/>
  <c r="AB10"/>
  <c r="AD10"/>
  <c r="AE10"/>
  <c r="AG10"/>
  <c r="AH10"/>
  <c r="AJ10"/>
  <c r="AK10"/>
  <c r="C11"/>
  <c r="D11"/>
  <c r="F11"/>
  <c r="G11"/>
  <c r="I11"/>
  <c r="J11"/>
  <c r="L11"/>
  <c r="M11"/>
  <c r="O11"/>
  <c r="P11"/>
  <c r="R11"/>
  <c r="S11"/>
  <c r="T11"/>
  <c r="U11"/>
  <c r="V11"/>
  <c r="X11"/>
  <c r="Y11"/>
  <c r="AA11"/>
  <c r="AB11"/>
  <c r="AD11"/>
  <c r="AE11"/>
  <c r="AG11"/>
  <c r="AH11"/>
  <c r="AJ11"/>
  <c r="AK11"/>
  <c r="C12"/>
  <c r="D12"/>
  <c r="F12"/>
  <c r="G12"/>
  <c r="I12"/>
  <c r="L12"/>
  <c r="O12"/>
  <c r="P12"/>
  <c r="R12"/>
  <c r="S12"/>
  <c r="U12"/>
  <c r="V12"/>
  <c r="W12"/>
  <c r="X12"/>
  <c r="Y12"/>
  <c r="AA12"/>
  <c r="AB12"/>
  <c r="AD12"/>
  <c r="AE12"/>
  <c r="AG12"/>
  <c r="AJ12"/>
  <c r="AK12"/>
  <c r="C13"/>
  <c r="D13"/>
  <c r="F13"/>
  <c r="G13"/>
  <c r="I13"/>
  <c r="J13"/>
  <c r="L13"/>
  <c r="M13"/>
  <c r="O13"/>
  <c r="P13"/>
  <c r="R13"/>
  <c r="S13"/>
  <c r="U13"/>
  <c r="V13"/>
  <c r="X13"/>
  <c r="Y13"/>
  <c r="AA13"/>
  <c r="AB13"/>
  <c r="AC13"/>
  <c r="AD13"/>
  <c r="AE13"/>
  <c r="AG13"/>
  <c r="AH13"/>
  <c r="AJ13"/>
  <c r="AK13"/>
  <c r="C14"/>
  <c r="D14"/>
  <c r="F14"/>
  <c r="G14"/>
  <c r="I14"/>
  <c r="L14"/>
  <c r="O14"/>
  <c r="R14"/>
  <c r="S14"/>
  <c r="U14"/>
  <c r="X14"/>
  <c r="AA14"/>
  <c r="AB14"/>
  <c r="AD14"/>
  <c r="AE14"/>
  <c r="AG14"/>
  <c r="AH14"/>
  <c r="AJ14"/>
  <c r="C15"/>
  <c r="D15"/>
  <c r="F15"/>
  <c r="G15"/>
  <c r="I15"/>
  <c r="J15"/>
  <c r="L15"/>
  <c r="M15"/>
  <c r="O15"/>
  <c r="P15"/>
  <c r="R15"/>
  <c r="S15"/>
  <c r="T15"/>
  <c r="U15"/>
  <c r="V15"/>
  <c r="X15"/>
  <c r="Y15"/>
  <c r="AA15"/>
  <c r="AB15"/>
  <c r="AD15"/>
  <c r="AE15"/>
  <c r="AG15"/>
  <c r="AH15"/>
  <c r="AJ15"/>
  <c r="AK15"/>
  <c r="C16"/>
  <c r="D16"/>
  <c r="F16"/>
  <c r="G16"/>
  <c r="I16"/>
  <c r="J16"/>
  <c r="L16"/>
  <c r="M16"/>
  <c r="P16"/>
  <c r="R16"/>
  <c r="S16"/>
  <c r="U16"/>
  <c r="V16"/>
  <c r="X16"/>
  <c r="Y16"/>
  <c r="AA16"/>
  <c r="AB16"/>
  <c r="AD16"/>
  <c r="AE16"/>
  <c r="AF16"/>
  <c r="AG16"/>
  <c r="AH16"/>
  <c r="AJ16"/>
  <c r="AK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J17"/>
  <c r="AK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J18"/>
  <c r="AK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J19"/>
  <c r="AK19"/>
  <c r="C20"/>
  <c r="D20"/>
  <c r="F20"/>
  <c r="G20"/>
  <c r="I20"/>
  <c r="J20"/>
  <c r="L20"/>
  <c r="M20"/>
  <c r="O20"/>
  <c r="P20"/>
  <c r="R20"/>
  <c r="S20"/>
  <c r="T20"/>
  <c r="U20"/>
  <c r="V20"/>
  <c r="X20"/>
  <c r="Y20"/>
  <c r="Z20"/>
  <c r="AA20"/>
  <c r="AB20"/>
  <c r="AD20"/>
  <c r="AE20"/>
  <c r="AF20"/>
  <c r="AG20"/>
  <c r="AH20"/>
  <c r="AJ20"/>
  <c r="AK20"/>
  <c r="C21"/>
  <c r="D21"/>
  <c r="F21"/>
  <c r="G21"/>
  <c r="I21"/>
  <c r="J21"/>
  <c r="L21"/>
  <c r="M21"/>
  <c r="O21"/>
  <c r="P21"/>
  <c r="R21"/>
  <c r="U21"/>
  <c r="V21"/>
  <c r="X21"/>
  <c r="Y21"/>
  <c r="AA21"/>
  <c r="AB21"/>
  <c r="AD21"/>
  <c r="AE21"/>
  <c r="AG21"/>
  <c r="AH21"/>
  <c r="AI21"/>
  <c r="AJ21"/>
  <c r="AK21"/>
  <c r="C22"/>
  <c r="D22"/>
  <c r="F22"/>
  <c r="G22"/>
  <c r="I22"/>
  <c r="J22"/>
  <c r="L22"/>
  <c r="M22"/>
  <c r="O22"/>
  <c r="P22"/>
  <c r="R22"/>
  <c r="S22"/>
  <c r="U22"/>
  <c r="V22"/>
  <c r="X22"/>
  <c r="Y22"/>
  <c r="AA22"/>
  <c r="AB22"/>
  <c r="AC22"/>
  <c r="AD22"/>
  <c r="AE22"/>
  <c r="AF22"/>
  <c r="AG22"/>
  <c r="AH22"/>
  <c r="AJ22"/>
  <c r="AK22"/>
  <c r="C25"/>
  <c r="D25"/>
  <c r="F25"/>
  <c r="G25"/>
  <c r="I25"/>
  <c r="L25"/>
  <c r="M25"/>
  <c r="O25"/>
  <c r="P25"/>
  <c r="Q25"/>
  <c r="R25"/>
  <c r="S25"/>
  <c r="U25"/>
  <c r="V25"/>
  <c r="X25"/>
  <c r="Y25"/>
  <c r="AA25"/>
  <c r="AB25"/>
  <c r="AD25"/>
  <c r="AE25"/>
  <c r="AG25"/>
  <c r="AH25"/>
  <c r="AI25"/>
  <c r="AJ25"/>
  <c r="AK25"/>
  <c r="C27"/>
  <c r="D27"/>
  <c r="F27"/>
  <c r="G27"/>
  <c r="I27"/>
  <c r="J27"/>
  <c r="K27"/>
  <c r="L27"/>
  <c r="M27"/>
  <c r="O27"/>
  <c r="P27"/>
  <c r="R27"/>
  <c r="S27"/>
  <c r="U27"/>
  <c r="V27"/>
  <c r="X27"/>
  <c r="Y27"/>
  <c r="Z27"/>
  <c r="AA27"/>
  <c r="AB27"/>
  <c r="AC27"/>
  <c r="AD27"/>
  <c r="AE27"/>
  <c r="AF27"/>
  <c r="AG27"/>
  <c r="AH27"/>
  <c r="AJ27"/>
  <c r="AK27"/>
  <c r="C28"/>
  <c r="D9"/>
  <c r="F9"/>
  <c r="G9"/>
  <c r="I9"/>
  <c r="J9"/>
  <c r="L9"/>
  <c r="M9"/>
  <c r="O9"/>
  <c r="P9"/>
  <c r="R9"/>
  <c r="S9"/>
  <c r="U9"/>
  <c r="V9"/>
  <c r="AA9"/>
  <c r="AB9"/>
  <c r="AD9"/>
  <c r="AE9"/>
  <c r="AG9"/>
  <c r="AH9"/>
  <c r="AJ9"/>
  <c r="AK9"/>
  <c r="C9"/>
  <c r="AL13"/>
  <c r="AL17"/>
  <c r="AL28"/>
  <c r="AN12" i="24"/>
  <c r="AN13"/>
  <c r="AN14"/>
  <c r="AN16"/>
  <c r="AN17"/>
  <c r="AN18"/>
  <c r="AN19"/>
  <c r="AN20"/>
  <c r="AN21"/>
  <c r="AN22"/>
  <c r="AN23"/>
  <c r="AN24"/>
  <c r="AN25"/>
  <c r="AN26"/>
  <c r="AN10"/>
  <c r="AM12"/>
  <c r="AM13"/>
  <c r="AM14"/>
  <c r="AM15"/>
  <c r="AM16"/>
  <c r="AM17"/>
  <c r="AM18"/>
  <c r="AM19"/>
  <c r="AM20"/>
  <c r="AM21"/>
  <c r="AM22"/>
  <c r="AM23"/>
  <c r="AM24"/>
  <c r="AM25"/>
  <c r="AM26"/>
  <c r="AM10"/>
  <c r="D28"/>
  <c r="F28"/>
  <c r="G28"/>
  <c r="H28"/>
  <c r="I28"/>
  <c r="J28"/>
  <c r="K28" s="1"/>
  <c r="L28"/>
  <c r="M28"/>
  <c r="N28" s="1"/>
  <c r="O28"/>
  <c r="P28"/>
  <c r="Q28" s="1"/>
  <c r="R28"/>
  <c r="S28"/>
  <c r="U28"/>
  <c r="V28"/>
  <c r="X28"/>
  <c r="Y28"/>
  <c r="Z28" s="1"/>
  <c r="AA28"/>
  <c r="AB28"/>
  <c r="AD28"/>
  <c r="AE28"/>
  <c r="AG28"/>
  <c r="AH28"/>
  <c r="AJ28"/>
  <c r="AK28"/>
  <c r="AM28"/>
  <c r="C28"/>
  <c r="AN11" i="23"/>
  <c r="AN12"/>
  <c r="AN13"/>
  <c r="AN14"/>
  <c r="AN16"/>
  <c r="AN17"/>
  <c r="AN18"/>
  <c r="AN19"/>
  <c r="AN20"/>
  <c r="AN21"/>
  <c r="AN22"/>
  <c r="AN23"/>
  <c r="AN24"/>
  <c r="AN25"/>
  <c r="AN26"/>
  <c r="AM11"/>
  <c r="AM28" s="1"/>
  <c r="AM12"/>
  <c r="AM13"/>
  <c r="AM14"/>
  <c r="AM15"/>
  <c r="AM16"/>
  <c r="AM17"/>
  <c r="AM18"/>
  <c r="AM19"/>
  <c r="AM20"/>
  <c r="AM21"/>
  <c r="AM22"/>
  <c r="AM23"/>
  <c r="AM24"/>
  <c r="AM25"/>
  <c r="AM26"/>
  <c r="D28"/>
  <c r="F28"/>
  <c r="G28"/>
  <c r="H28"/>
  <c r="I28"/>
  <c r="J28"/>
  <c r="K28" s="1"/>
  <c r="L28"/>
  <c r="M28"/>
  <c r="N28" s="1"/>
  <c r="O28"/>
  <c r="P28"/>
  <c r="Q28" s="1"/>
  <c r="R28"/>
  <c r="S28"/>
  <c r="T28" s="1"/>
  <c r="U28"/>
  <c r="V28"/>
  <c r="W28" s="1"/>
  <c r="X28"/>
  <c r="Y28"/>
  <c r="Z28" s="1"/>
  <c r="AA28"/>
  <c r="AB28"/>
  <c r="AD28"/>
  <c r="AE28"/>
  <c r="AG28"/>
  <c r="AH28"/>
  <c r="AJ28"/>
  <c r="AK28"/>
  <c r="C28"/>
  <c r="AN10" i="22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5"/>
  <c r="AM27"/>
  <c r="AM28"/>
  <c r="AM9"/>
  <c r="D30"/>
  <c r="F30"/>
  <c r="I30"/>
  <c r="J30"/>
  <c r="L30"/>
  <c r="M30"/>
  <c r="O30"/>
  <c r="P30"/>
  <c r="R30"/>
  <c r="S30"/>
  <c r="U30"/>
  <c r="V30"/>
  <c r="W30" s="1"/>
  <c r="X30"/>
  <c r="Y30"/>
  <c r="AA30"/>
  <c r="AB30"/>
  <c r="AC30" s="1"/>
  <c r="AD30"/>
  <c r="AE30"/>
  <c r="AG30"/>
  <c r="AH30"/>
  <c r="AI30" s="1"/>
  <c r="AJ30"/>
  <c r="AK30"/>
  <c r="AL30" s="1"/>
  <c r="C30"/>
  <c r="AN10" i="21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I30"/>
  <c r="J30"/>
  <c r="L30"/>
  <c r="M30"/>
  <c r="N30" s="1"/>
  <c r="O30"/>
  <c r="P30"/>
  <c r="Q30" s="1"/>
  <c r="R30"/>
  <c r="S30"/>
  <c r="U30"/>
  <c r="V30"/>
  <c r="X30"/>
  <c r="Y30"/>
  <c r="AA30"/>
  <c r="AB30"/>
  <c r="AD30"/>
  <c r="AE30"/>
  <c r="AG30"/>
  <c r="AH30"/>
  <c r="AI30" s="1"/>
  <c r="AK30"/>
  <c r="C30"/>
  <c r="AN10" i="20"/>
  <c r="AN11"/>
  <c r="AN12"/>
  <c r="AN13"/>
  <c r="AN15"/>
  <c r="AN16"/>
  <c r="AN17"/>
  <c r="AN18"/>
  <c r="AN19"/>
  <c r="AN20"/>
  <c r="AN21"/>
  <c r="AN22"/>
  <c r="AN24"/>
  <c r="AN26"/>
  <c r="AN27"/>
  <c r="AN9"/>
  <c r="AM10"/>
  <c r="AM11"/>
  <c r="AM12"/>
  <c r="AM13"/>
  <c r="AM14"/>
  <c r="AM15"/>
  <c r="AM16"/>
  <c r="AM17"/>
  <c r="AM18"/>
  <c r="AM19"/>
  <c r="AM20"/>
  <c r="AM21"/>
  <c r="AM22"/>
  <c r="AM24"/>
  <c r="AM26"/>
  <c r="AM27"/>
  <c r="AM9"/>
  <c r="D30"/>
  <c r="F30"/>
  <c r="I30"/>
  <c r="L30"/>
  <c r="M30"/>
  <c r="N30" s="1"/>
  <c r="O30"/>
  <c r="R30"/>
  <c r="S30"/>
  <c r="U30"/>
  <c r="V30"/>
  <c r="X30"/>
  <c r="Y30"/>
  <c r="AA30"/>
  <c r="AB30"/>
  <c r="AD30"/>
  <c r="AE30"/>
  <c r="AG30"/>
  <c r="AH30"/>
  <c r="AJ30"/>
  <c r="AK30"/>
  <c r="AM30"/>
  <c r="C30"/>
  <c r="AN11" i="18"/>
  <c r="AN12"/>
  <c r="AN13"/>
  <c r="AN14"/>
  <c r="AN16"/>
  <c r="AN17"/>
  <c r="AN18"/>
  <c r="AN19"/>
  <c r="AN20"/>
  <c r="AN21"/>
  <c r="AN22"/>
  <c r="AN23"/>
  <c r="AN24"/>
  <c r="AN25"/>
  <c r="AN26"/>
  <c r="AN10"/>
  <c r="AM11"/>
  <c r="AM12"/>
  <c r="AM28" s="1"/>
  <c r="AM13"/>
  <c r="AM14"/>
  <c r="AM15"/>
  <c r="AM16"/>
  <c r="AM17"/>
  <c r="AM18"/>
  <c r="AM19"/>
  <c r="AM20"/>
  <c r="AM21"/>
  <c r="AM22"/>
  <c r="AM23"/>
  <c r="AM24"/>
  <c r="AM25"/>
  <c r="AM26"/>
  <c r="AM10"/>
  <c r="D28"/>
  <c r="F28"/>
  <c r="G28"/>
  <c r="I28"/>
  <c r="J28"/>
  <c r="K28" s="1"/>
  <c r="L28"/>
  <c r="N28"/>
  <c r="O28"/>
  <c r="P28"/>
  <c r="Q28" s="1"/>
  <c r="R28"/>
  <c r="S28"/>
  <c r="T28" s="1"/>
  <c r="U28"/>
  <c r="V28"/>
  <c r="W28" s="1"/>
  <c r="X28"/>
  <c r="Y28"/>
  <c r="Z28" s="1"/>
  <c r="AA28"/>
  <c r="AB28"/>
  <c r="AD28"/>
  <c r="AE28"/>
  <c r="AF28" s="1"/>
  <c r="AG28"/>
  <c r="AH28"/>
  <c r="AI28" s="1"/>
  <c r="AJ28"/>
  <c r="AK28"/>
  <c r="C28"/>
  <c r="AN10" i="17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I30"/>
  <c r="J30"/>
  <c r="L30"/>
  <c r="M30"/>
  <c r="O30"/>
  <c r="P30"/>
  <c r="R30"/>
  <c r="S30"/>
  <c r="U30"/>
  <c r="V30"/>
  <c r="X30"/>
  <c r="Y30"/>
  <c r="Z30" s="1"/>
  <c r="AA30"/>
  <c r="AB30"/>
  <c r="AC30" s="1"/>
  <c r="AD30"/>
  <c r="AE30"/>
  <c r="AF30" s="1"/>
  <c r="AG30"/>
  <c r="AH30"/>
  <c r="AI30" s="1"/>
  <c r="AJ30"/>
  <c r="AK30"/>
  <c r="AL30" s="1"/>
  <c r="C30"/>
  <c r="AN10" i="16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G30"/>
  <c r="I30"/>
  <c r="J30"/>
  <c r="K30" s="1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AM30"/>
  <c r="C30"/>
  <c r="AN10" i="15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C30"/>
  <c r="AM10" i="14"/>
  <c r="AN10"/>
  <c r="AM11"/>
  <c r="AN11"/>
  <c r="AM12"/>
  <c r="AN12"/>
  <c r="AM13"/>
  <c r="AN13"/>
  <c r="AM14"/>
  <c r="AM15"/>
  <c r="AN15"/>
  <c r="AM16"/>
  <c r="AN16"/>
  <c r="AM17"/>
  <c r="AN17"/>
  <c r="AM18"/>
  <c r="AN18"/>
  <c r="AM19"/>
  <c r="AN19"/>
  <c r="AM20"/>
  <c r="AN20"/>
  <c r="AM21"/>
  <c r="AN21"/>
  <c r="AM22"/>
  <c r="AN22"/>
  <c r="AM25"/>
  <c r="AN25"/>
  <c r="AM27"/>
  <c r="AN27"/>
  <c r="AM28"/>
  <c r="AN28"/>
  <c r="AN9"/>
  <c r="AM9"/>
  <c r="AM30" s="1"/>
  <c r="D30"/>
  <c r="F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C30"/>
  <c r="AN10" i="13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G30"/>
  <c r="I30"/>
  <c r="J30"/>
  <c r="L30"/>
  <c r="M30"/>
  <c r="N30" s="1"/>
  <c r="O30"/>
  <c r="P30"/>
  <c r="R30"/>
  <c r="S30"/>
  <c r="U30"/>
  <c r="V30"/>
  <c r="W30" s="1"/>
  <c r="X30"/>
  <c r="Z30" s="1"/>
  <c r="AA30"/>
  <c r="AB30"/>
  <c r="AD30"/>
  <c r="AE30"/>
  <c r="AG30"/>
  <c r="AH30"/>
  <c r="AJ30"/>
  <c r="AK30"/>
  <c r="C30"/>
  <c r="AN13" i="12"/>
  <c r="AN15"/>
  <c r="AN16"/>
  <c r="AN17"/>
  <c r="AN18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F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AM30"/>
  <c r="AN10" i="11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C30"/>
  <c r="AM10" i="10"/>
  <c r="AN10"/>
  <c r="AM11"/>
  <c r="AN11"/>
  <c r="AM12"/>
  <c r="AN12"/>
  <c r="AM13"/>
  <c r="AN13"/>
  <c r="AM14"/>
  <c r="AM15"/>
  <c r="AN15"/>
  <c r="AM16"/>
  <c r="AN16"/>
  <c r="AM17"/>
  <c r="AN17"/>
  <c r="AM18"/>
  <c r="AN18"/>
  <c r="AM19"/>
  <c r="AN19"/>
  <c r="AM20"/>
  <c r="AN20"/>
  <c r="AM21"/>
  <c r="AN21"/>
  <c r="AM22"/>
  <c r="AM25"/>
  <c r="AN25"/>
  <c r="AM27"/>
  <c r="AN27"/>
  <c r="AM28"/>
  <c r="AN28"/>
  <c r="AN9"/>
  <c r="AM9"/>
  <c r="D30"/>
  <c r="F30"/>
  <c r="I30"/>
  <c r="J30"/>
  <c r="L30"/>
  <c r="M30"/>
  <c r="N30" s="1"/>
  <c r="O30"/>
  <c r="P30"/>
  <c r="Q30" s="1"/>
  <c r="R30"/>
  <c r="S30"/>
  <c r="U30"/>
  <c r="V30"/>
  <c r="W30" s="1"/>
  <c r="X30"/>
  <c r="Y30"/>
  <c r="Z30" s="1"/>
  <c r="AA30"/>
  <c r="AB30"/>
  <c r="AC30" s="1"/>
  <c r="AD30"/>
  <c r="AE30"/>
  <c r="AF30" s="1"/>
  <c r="AG30"/>
  <c r="AH30"/>
  <c r="AI30" s="1"/>
  <c r="AJ30"/>
  <c r="AK30"/>
  <c r="AM30"/>
  <c r="C30"/>
  <c r="AN10" i="9"/>
  <c r="AN11"/>
  <c r="AN12"/>
  <c r="AN13"/>
  <c r="AN15"/>
  <c r="AN16"/>
  <c r="AN17"/>
  <c r="AN18"/>
  <c r="AN19"/>
  <c r="AN20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AM30" s="1"/>
  <c r="D30"/>
  <c r="F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C30"/>
  <c r="AN10" i="8"/>
  <c r="AN11"/>
  <c r="AN12"/>
  <c r="AN13"/>
  <c r="AN15"/>
  <c r="AN16"/>
  <c r="AN17"/>
  <c r="AN18"/>
  <c r="AN19"/>
  <c r="AN20"/>
  <c r="AN21"/>
  <c r="AN9"/>
  <c r="AM10"/>
  <c r="AM11"/>
  <c r="AM12"/>
  <c r="AM13"/>
  <c r="AM14"/>
  <c r="AM15"/>
  <c r="AM16"/>
  <c r="AM17"/>
  <c r="AM18"/>
  <c r="AM19"/>
  <c r="AM20"/>
  <c r="AM21"/>
  <c r="AM22"/>
  <c r="AM9"/>
  <c r="D30"/>
  <c r="F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AL30"/>
  <c r="C30"/>
  <c r="AN10" i="7"/>
  <c r="AN11"/>
  <c r="AN12"/>
  <c r="AN13"/>
  <c r="AN15"/>
  <c r="AN16"/>
  <c r="AN17"/>
  <c r="AN18"/>
  <c r="AN19"/>
  <c r="AN20"/>
  <c r="AN21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AM30" s="1"/>
  <c r="D30"/>
  <c r="F30"/>
  <c r="I30"/>
  <c r="J30"/>
  <c r="L30"/>
  <c r="M30"/>
  <c r="N30" s="1"/>
  <c r="O30"/>
  <c r="P30"/>
  <c r="R30"/>
  <c r="S30"/>
  <c r="U30"/>
  <c r="V30"/>
  <c r="X30"/>
  <c r="Y30"/>
  <c r="AA30"/>
  <c r="AB30"/>
  <c r="AD30"/>
  <c r="AE30"/>
  <c r="AG30"/>
  <c r="AH30"/>
  <c r="AJ30"/>
  <c r="AK30"/>
  <c r="AL30" s="1"/>
  <c r="C30"/>
  <c r="AL28" i="24"/>
  <c r="AL28" i="23"/>
  <c r="AL30" i="20"/>
  <c r="AL28" i="18"/>
  <c r="AL30" i="10"/>
  <c r="AF30" i="22"/>
  <c r="AI28" i="24"/>
  <c r="AI28" i="23"/>
  <c r="AI30" i="20"/>
  <c r="AF28" i="24"/>
  <c r="AF28" i="23"/>
  <c r="AC28" i="18"/>
  <c r="AC30" i="16"/>
  <c r="AC28" i="24"/>
  <c r="AC28" i="23"/>
  <c r="W30" i="20"/>
  <c r="W28" i="24"/>
  <c r="T28"/>
  <c r="Q30" i="22"/>
  <c r="AN10" i="6"/>
  <c r="AN11"/>
  <c r="AN12"/>
  <c r="AN13"/>
  <c r="AN15"/>
  <c r="AN16"/>
  <c r="AN17"/>
  <c r="AN18"/>
  <c r="AN19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AM30" s="1"/>
  <c r="D30"/>
  <c r="F30"/>
  <c r="G30"/>
  <c r="I30"/>
  <c r="J30"/>
  <c r="L30"/>
  <c r="M30"/>
  <c r="N30" s="1"/>
  <c r="O30"/>
  <c r="P30"/>
  <c r="R30"/>
  <c r="S30"/>
  <c r="U30"/>
  <c r="V30"/>
  <c r="X30"/>
  <c r="Y30"/>
  <c r="Z30" s="1"/>
  <c r="AA30"/>
  <c r="AB30"/>
  <c r="AC30" s="1"/>
  <c r="AD30"/>
  <c r="AE30"/>
  <c r="AF30" s="1"/>
  <c r="AG30"/>
  <c r="AH30"/>
  <c r="AJ30"/>
  <c r="AK30"/>
  <c r="C30"/>
  <c r="AN10" i="5"/>
  <c r="AN11"/>
  <c r="AN12"/>
  <c r="AN13"/>
  <c r="AN15"/>
  <c r="AN16"/>
  <c r="AN17"/>
  <c r="AN19"/>
  <c r="AN20"/>
  <c r="AN21"/>
  <c r="AN22"/>
  <c r="AN24"/>
  <c r="AN26"/>
  <c r="AN27"/>
  <c r="AM10"/>
  <c r="AM11"/>
  <c r="AM12"/>
  <c r="AM13"/>
  <c r="AM14"/>
  <c r="AM15"/>
  <c r="AM16"/>
  <c r="AM17"/>
  <c r="AM18"/>
  <c r="AM19"/>
  <c r="AM20"/>
  <c r="AM21"/>
  <c r="AM22"/>
  <c r="AM24"/>
  <c r="AM26"/>
  <c r="AM27"/>
  <c r="AN9"/>
  <c r="AM9"/>
  <c r="D30"/>
  <c r="F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C30"/>
  <c r="AN10" i="4"/>
  <c r="AN11"/>
  <c r="AN12"/>
  <c r="AN13"/>
  <c r="AN15"/>
  <c r="AN16"/>
  <c r="AN17"/>
  <c r="AN18"/>
  <c r="AN20"/>
  <c r="AN21"/>
  <c r="AN22"/>
  <c r="AN25"/>
  <c r="AN27"/>
  <c r="AN28"/>
  <c r="AN9"/>
  <c r="AM10"/>
  <c r="AM11"/>
  <c r="AM12"/>
  <c r="AM13"/>
  <c r="AM14"/>
  <c r="AM15"/>
  <c r="AM16"/>
  <c r="AM17"/>
  <c r="AM18"/>
  <c r="AM19"/>
  <c r="AM20"/>
  <c r="AM21"/>
  <c r="AM22"/>
  <c r="AM25"/>
  <c r="AM27"/>
  <c r="AM28"/>
  <c r="AM9"/>
  <c r="D30"/>
  <c r="F30"/>
  <c r="G30"/>
  <c r="L30"/>
  <c r="M30"/>
  <c r="O30"/>
  <c r="P30"/>
  <c r="R30"/>
  <c r="S30"/>
  <c r="U30"/>
  <c r="V30"/>
  <c r="X30"/>
  <c r="Y30"/>
  <c r="AA30"/>
  <c r="AB30"/>
  <c r="AD30"/>
  <c r="AE30"/>
  <c r="AG30"/>
  <c r="AH30"/>
  <c r="AJ30"/>
  <c r="AK30"/>
  <c r="C30"/>
  <c r="AN10" i="1"/>
  <c r="AN12"/>
  <c r="AN13"/>
  <c r="AN15"/>
  <c r="AN16"/>
  <c r="AN17"/>
  <c r="AN18"/>
  <c r="AN19"/>
  <c r="AN20"/>
  <c r="AN25"/>
  <c r="AN27"/>
  <c r="AN28"/>
  <c r="AN9"/>
  <c r="AM10"/>
  <c r="AM11"/>
  <c r="AM12"/>
  <c r="AM13"/>
  <c r="AM14"/>
  <c r="AM15"/>
  <c r="AM16"/>
  <c r="AM16" i="25"/>
  <c r="AM17" i="1"/>
  <c r="AM18"/>
  <c r="AM18" i="25" s="1"/>
  <c r="AM19" i="1"/>
  <c r="AM20"/>
  <c r="AM20" i="25" s="1"/>
  <c r="AM21" i="1"/>
  <c r="AM22" i="25"/>
  <c r="AM25" i="1"/>
  <c r="AM27"/>
  <c r="AM27" i="25" s="1"/>
  <c r="AM28" i="1"/>
  <c r="AM9"/>
  <c r="AO11"/>
  <c r="AO12"/>
  <c r="AO15"/>
  <c r="AO16"/>
  <c r="AO17"/>
  <c r="AO20"/>
  <c r="AO22"/>
  <c r="AO25"/>
  <c r="AO27"/>
  <c r="AO28"/>
  <c r="AO9"/>
  <c r="AO11" i="23"/>
  <c r="AO12"/>
  <c r="AO13"/>
  <c r="AO14"/>
  <c r="AO16"/>
  <c r="AO17"/>
  <c r="AO18"/>
  <c r="AO20"/>
  <c r="AO21"/>
  <c r="AO22"/>
  <c r="AO23"/>
  <c r="AO24"/>
  <c r="AO25"/>
  <c r="AO26"/>
  <c r="AO11" i="22"/>
  <c r="AO13"/>
  <c r="AO16"/>
  <c r="AO19"/>
  <c r="AO20"/>
  <c r="AO22"/>
  <c r="AO25"/>
  <c r="AO27"/>
  <c r="AO28"/>
  <c r="AO11" i="21"/>
  <c r="AO15"/>
  <c r="AO20"/>
  <c r="AO27"/>
  <c r="AO13" i="20"/>
  <c r="AO15"/>
  <c r="AO17"/>
  <c r="AO22"/>
  <c r="AO24"/>
  <c r="AO26"/>
  <c r="AO27"/>
  <c r="AO13" i="18"/>
  <c r="AO17"/>
  <c r="AO19"/>
  <c r="AO21"/>
  <c r="AO23"/>
  <c r="AO25"/>
  <c r="AO11" i="17"/>
  <c r="AO12"/>
  <c r="AO15"/>
  <c r="AO17"/>
  <c r="AO22"/>
  <c r="AO25"/>
  <c r="AO27"/>
  <c r="AO28"/>
  <c r="AO13" i="16"/>
  <c r="AO15"/>
  <c r="AO16"/>
  <c r="AO18"/>
  <c r="AO20"/>
  <c r="AO22"/>
  <c r="AO25"/>
  <c r="AO27"/>
  <c r="AO28"/>
  <c r="AO15" i="15"/>
  <c r="AO17"/>
  <c r="AO27"/>
  <c r="AO15" i="14"/>
  <c r="AO16"/>
  <c r="AO17"/>
  <c r="AO20"/>
  <c r="AO21"/>
  <c r="AO22"/>
  <c r="AO25"/>
  <c r="AO27"/>
  <c r="AO28"/>
  <c r="AO12" i="13"/>
  <c r="AO16"/>
  <c r="AO19"/>
  <c r="AO20"/>
  <c r="AO21"/>
  <c r="AO22"/>
  <c r="AO25"/>
  <c r="AO27"/>
  <c r="AO28"/>
  <c r="AO13" i="12"/>
  <c r="AO16"/>
  <c r="AO18"/>
  <c r="AO20"/>
  <c r="AO22"/>
  <c r="AO25"/>
  <c r="AO27"/>
  <c r="AO28"/>
  <c r="AO11" i="11"/>
  <c r="AO12"/>
  <c r="AO15"/>
  <c r="AO16"/>
  <c r="AO18"/>
  <c r="AO20"/>
  <c r="AO22"/>
  <c r="AO25"/>
  <c r="AO27"/>
  <c r="AO28"/>
  <c r="AO11" i="10"/>
  <c r="AO13"/>
  <c r="AO15"/>
  <c r="AO17"/>
  <c r="AO22"/>
  <c r="AO25"/>
  <c r="AO27"/>
  <c r="AO28"/>
  <c r="AO12" i="9"/>
  <c r="AO15"/>
  <c r="AO16"/>
  <c r="AO17"/>
  <c r="AO20"/>
  <c r="AO25"/>
  <c r="AO27"/>
  <c r="AO28"/>
  <c r="AO10" i="8"/>
  <c r="AO12"/>
  <c r="AO15"/>
  <c r="AO11" i="7"/>
  <c r="AO13"/>
  <c r="AO19"/>
  <c r="AO22"/>
  <c r="AO25"/>
  <c r="AO27"/>
  <c r="AO28"/>
  <c r="AO15" i="6"/>
  <c r="AO17"/>
  <c r="AO20"/>
  <c r="AO25"/>
  <c r="AO28"/>
  <c r="AO12" i="5"/>
  <c r="AO13"/>
  <c r="AO15"/>
  <c r="AO16"/>
  <c r="AO19"/>
  <c r="AO20"/>
  <c r="AO22"/>
  <c r="AO24"/>
  <c r="AO26"/>
  <c r="AO27"/>
  <c r="AO10" i="4"/>
  <c r="AO11"/>
  <c r="AO12"/>
  <c r="AO15"/>
  <c r="AO19"/>
  <c r="AO25"/>
  <c r="AO27"/>
  <c r="AO28"/>
  <c r="AO11" i="24"/>
  <c r="AO13"/>
  <c r="AO14"/>
  <c r="AO16"/>
  <c r="AO17"/>
  <c r="AO18"/>
  <c r="AO20"/>
  <c r="AO21"/>
  <c r="AO22"/>
  <c r="AO23"/>
  <c r="AO24"/>
  <c r="AO25"/>
  <c r="AO26"/>
  <c r="K30" i="4"/>
  <c r="AO10" i="24"/>
  <c r="E28"/>
  <c r="E28" i="23"/>
  <c r="E30" i="22"/>
  <c r="E30" i="21"/>
  <c r="E30" i="20"/>
  <c r="E28" i="18"/>
  <c r="E30" i="16"/>
  <c r="E30" i="15"/>
  <c r="E30" i="10"/>
  <c r="AO9" i="9"/>
  <c r="E30" i="6"/>
  <c r="E30" i="4"/>
  <c r="AO9" i="14" l="1"/>
  <c r="T30" i="22"/>
  <c r="T30" i="21"/>
  <c r="AM30" i="1"/>
  <c r="T30" i="17"/>
  <c r="T30" i="14"/>
  <c r="T30" i="10"/>
  <c r="T30" i="6"/>
  <c r="AN14" i="25"/>
  <c r="K30" i="13"/>
  <c r="K30" i="10"/>
  <c r="N30" i="22"/>
  <c r="AO21" i="8"/>
  <c r="H30" i="9"/>
  <c r="H30" i="5"/>
  <c r="H30" i="22"/>
  <c r="H30" i="21"/>
  <c r="H30" i="20"/>
  <c r="H30" i="17"/>
  <c r="H30" i="15"/>
  <c r="H30" i="14"/>
  <c r="H30" i="13"/>
  <c r="H30" i="7"/>
  <c r="H30" i="6"/>
  <c r="H30" i="11"/>
  <c r="H30" i="8"/>
  <c r="E30" i="14"/>
  <c r="AM30" i="4"/>
  <c r="AO21" i="5"/>
  <c r="E30"/>
  <c r="AO13" i="8"/>
  <c r="AO11"/>
  <c r="AO9"/>
  <c r="Z30" i="22"/>
  <c r="K30"/>
  <c r="AJ30" i="21"/>
  <c r="AL30" s="1"/>
  <c r="AF30"/>
  <c r="AC30"/>
  <c r="Z30"/>
  <c r="W30"/>
  <c r="AO24"/>
  <c r="K30"/>
  <c r="AO23" i="20"/>
  <c r="AO23" i="25" s="1"/>
  <c r="K30" i="20"/>
  <c r="AO24" i="17"/>
  <c r="AN24"/>
  <c r="AO13"/>
  <c r="AO13" i="14"/>
  <c r="D30" i="25"/>
  <c r="H30" i="12"/>
  <c r="E30"/>
  <c r="H30" i="10"/>
  <c r="AO22" i="9"/>
  <c r="AO10"/>
  <c r="AO20" i="7"/>
  <c r="AO16"/>
  <c r="AN22" i="25"/>
  <c r="AO27"/>
  <c r="AN27"/>
  <c r="AO28"/>
  <c r="AN28"/>
  <c r="AN18"/>
  <c r="H30" i="4"/>
  <c r="AN20" i="25"/>
  <c r="H30" i="1"/>
  <c r="AN16" i="25"/>
  <c r="AN17"/>
  <c r="AO25"/>
  <c r="AN25"/>
  <c r="AN15"/>
  <c r="AN13"/>
  <c r="AO24" i="13"/>
  <c r="AN19" i="25"/>
  <c r="AN12"/>
  <c r="AN10"/>
  <c r="AN9"/>
  <c r="AN21"/>
  <c r="AN11"/>
  <c r="K9"/>
  <c r="AO12" i="7"/>
  <c r="AN30" i="1"/>
  <c r="E30"/>
  <c r="AO12" i="14"/>
  <c r="E30" i="11"/>
  <c r="K30" i="9"/>
  <c r="AI20" i="25"/>
  <c r="AI18"/>
  <c r="AI16"/>
  <c r="AI12"/>
  <c r="AF30" i="7"/>
  <c r="AC30"/>
  <c r="Z30"/>
  <c r="Q30"/>
  <c r="K30"/>
  <c r="AO12" i="6"/>
  <c r="K30"/>
  <c r="AL30" i="5"/>
  <c r="AO21" i="4"/>
  <c r="AO17"/>
  <c r="AL30"/>
  <c r="AC30"/>
  <c r="W30"/>
  <c r="T30"/>
  <c r="Q30"/>
  <c r="K25" i="25"/>
  <c r="Q14"/>
  <c r="AO24" i="22"/>
  <c r="AO20" i="15"/>
  <c r="AO9"/>
  <c r="AO28"/>
  <c r="AO13"/>
  <c r="AI28" i="25"/>
  <c r="AO13" i="6"/>
  <c r="AO11"/>
  <c r="AO27"/>
  <c r="AO22"/>
  <c r="AO18"/>
  <c r="AO16"/>
  <c r="N19" i="25"/>
  <c r="N15"/>
  <c r="T18"/>
  <c r="T10"/>
  <c r="W28"/>
  <c r="W25"/>
  <c r="W13"/>
  <c r="AC16"/>
  <c r="Z22"/>
  <c r="AI13"/>
  <c r="Q19"/>
  <c r="AO25" i="21"/>
  <c r="AL20" i="25"/>
  <c r="AL25"/>
  <c r="AL15"/>
  <c r="AL11"/>
  <c r="AO20" i="20"/>
  <c r="AO16"/>
  <c r="AM30" i="17"/>
  <c r="AO16"/>
  <c r="AO20"/>
  <c r="Q28" i="25"/>
  <c r="Q15"/>
  <c r="W21"/>
  <c r="AO25" i="15"/>
  <c r="AO16"/>
  <c r="AL30"/>
  <c r="AI30"/>
  <c r="AF30"/>
  <c r="AC30"/>
  <c r="Z30"/>
  <c r="W30"/>
  <c r="Q30"/>
  <c r="N30"/>
  <c r="K30"/>
  <c r="AM30"/>
  <c r="N25" i="25"/>
  <c r="N17"/>
  <c r="T27"/>
  <c r="T22"/>
  <c r="T16"/>
  <c r="T12"/>
  <c r="AC17"/>
  <c r="AC20"/>
  <c r="AC12"/>
  <c r="K30" i="14"/>
  <c r="AM30" i="13"/>
  <c r="H27" i="25"/>
  <c r="K28"/>
  <c r="AM14"/>
  <c r="AM12"/>
  <c r="AM10"/>
  <c r="AL10"/>
  <c r="AL12"/>
  <c r="AL14"/>
  <c r="AL16"/>
  <c r="AL18"/>
  <c r="AL22"/>
  <c r="AL26"/>
  <c r="AO24" i="6"/>
  <c r="N9" i="25"/>
  <c r="AI30" i="8"/>
  <c r="AF30"/>
  <c r="AC30"/>
  <c r="Z30"/>
  <c r="W30"/>
  <c r="T30"/>
  <c r="N30"/>
  <c r="K30"/>
  <c r="AM30"/>
  <c r="AM9" i="25"/>
  <c r="N16"/>
  <c r="K26"/>
  <c r="F30"/>
  <c r="AM30" i="5"/>
  <c r="AI30"/>
  <c r="AF30"/>
  <c r="AC30"/>
  <c r="C30" i="25"/>
  <c r="N27"/>
  <c r="Z15"/>
  <c r="Z16"/>
  <c r="Z17"/>
  <c r="Z12"/>
  <c r="AM28"/>
  <c r="AM21"/>
  <c r="AM19"/>
  <c r="AM17"/>
  <c r="AM15"/>
  <c r="AM13"/>
  <c r="I24" i="11"/>
  <c r="H24" i="25"/>
  <c r="AL30" i="16"/>
  <c r="AI30"/>
  <c r="Z30"/>
  <c r="W30"/>
  <c r="T30"/>
  <c r="Q30"/>
  <c r="N30"/>
  <c r="AF30" i="13"/>
  <c r="AL30" i="9"/>
  <c r="AI30"/>
  <c r="AF30"/>
  <c r="Z30"/>
  <c r="W30"/>
  <c r="T30"/>
  <c r="Q30"/>
  <c r="N30"/>
  <c r="Z30" i="5"/>
  <c r="T30"/>
  <c r="Q30"/>
  <c r="N30" i="4"/>
  <c r="Q30" i="17"/>
  <c r="AL30" i="14"/>
  <c r="AI30"/>
  <c r="AC30"/>
  <c r="Z30"/>
  <c r="W30"/>
  <c r="Q30"/>
  <c r="N30"/>
  <c r="AF30" i="20"/>
  <c r="AC30"/>
  <c r="Z30"/>
  <c r="T30"/>
  <c r="Q30"/>
  <c r="N30" i="17"/>
  <c r="K30"/>
  <c r="AL30" i="12"/>
  <c r="AI30"/>
  <c r="AF30"/>
  <c r="AC30"/>
  <c r="Z30"/>
  <c r="W30"/>
  <c r="T30"/>
  <c r="Q30"/>
  <c r="N30"/>
  <c r="K30"/>
  <c r="K30" i="5"/>
  <c r="AM25" i="25"/>
  <c r="AO19" i="12"/>
  <c r="E30" i="9"/>
  <c r="AO10" i="20"/>
  <c r="K12" i="25"/>
  <c r="H28"/>
  <c r="H26"/>
  <c r="AO19" i="14"/>
  <c r="Z28" i="25"/>
  <c r="AO13" i="13"/>
  <c r="AO17" i="12"/>
  <c r="AO15"/>
  <c r="Q26" i="25"/>
  <c r="AO9" i="10"/>
  <c r="AO20"/>
  <c r="T28" i="25"/>
  <c r="AO15" i="7"/>
  <c r="AI27" i="25"/>
  <c r="AO21" i="6"/>
  <c r="AO19"/>
  <c r="AF25" i="25"/>
  <c r="AF28"/>
  <c r="AF26"/>
  <c r="AC25"/>
  <c r="AC15"/>
  <c r="AC26"/>
  <c r="Z25"/>
  <c r="W27"/>
  <c r="T26"/>
  <c r="N26"/>
  <c r="H25"/>
  <c r="AO17" i="5"/>
  <c r="AO9"/>
  <c r="AO18"/>
  <c r="AI15" i="25"/>
  <c r="AI22"/>
  <c r="AI10"/>
  <c r="AF17"/>
  <c r="AF15"/>
  <c r="AF13"/>
  <c r="Z13"/>
  <c r="Z21"/>
  <c r="W22"/>
  <c r="W16"/>
  <c r="W20"/>
  <c r="W15"/>
  <c r="T25"/>
  <c r="T17"/>
  <c r="Q22"/>
  <c r="Q20"/>
  <c r="Q16"/>
  <c r="N12"/>
  <c r="N21"/>
  <c r="N10"/>
  <c r="N22"/>
  <c r="N20"/>
  <c r="N18"/>
  <c r="H17"/>
  <c r="H15"/>
  <c r="H20"/>
  <c r="H19"/>
  <c r="H13"/>
  <c r="AO22" i="4"/>
  <c r="AO20"/>
  <c r="AO20" i="25" s="1"/>
  <c r="AO13" i="1"/>
  <c r="AO17" i="21"/>
  <c r="AI30" i="1"/>
  <c r="AF30"/>
  <c r="W30"/>
  <c r="N30"/>
  <c r="AM30" i="21"/>
  <c r="AO28"/>
  <c r="AO13"/>
  <c r="AL27" i="25"/>
  <c r="Q27"/>
  <c r="AI26"/>
  <c r="W26"/>
  <c r="Z26"/>
  <c r="E28"/>
  <c r="AI17"/>
  <c r="AO26" i="14"/>
  <c r="AF21" i="25"/>
  <c r="AC18"/>
  <c r="AO18" i="13"/>
  <c r="AO11" i="16"/>
  <c r="AO11" i="12"/>
  <c r="AO12" i="16"/>
  <c r="T21" i="25"/>
  <c r="AO21" i="20"/>
  <c r="T13" i="25"/>
  <c r="Q30" i="13"/>
  <c r="AO9"/>
  <c r="AO21" i="22"/>
  <c r="Q10" i="25"/>
  <c r="Q9"/>
  <c r="AO9" i="6"/>
  <c r="Q18" i="25"/>
  <c r="AO10" i="6"/>
  <c r="N30" i="5"/>
  <c r="K14" i="25"/>
  <c r="AO13" i="9"/>
  <c r="AO19" i="8"/>
  <c r="AO18" i="4"/>
  <c r="K30" i="1"/>
  <c r="H21" i="25"/>
  <c r="AO21" i="9"/>
  <c r="AO19"/>
  <c r="AO17" i="16"/>
  <c r="H30"/>
  <c r="AM30" i="22"/>
  <c r="H14" i="25"/>
  <c r="AO12" i="22"/>
  <c r="AO12" i="10"/>
  <c r="H11" i="25"/>
  <c r="AO10" i="17"/>
  <c r="AO10" i="12"/>
  <c r="AO11" i="9"/>
  <c r="E30" i="8"/>
  <c r="E30" i="7"/>
  <c r="E30" i="17"/>
  <c r="AO10" i="10"/>
  <c r="E30" i="13"/>
  <c r="AO19" i="23"/>
  <c r="AO17" i="22"/>
  <c r="AO15"/>
  <c r="AO10"/>
  <c r="AO9"/>
  <c r="AO18"/>
  <c r="AO22" i="21"/>
  <c r="AO18"/>
  <c r="AO16"/>
  <c r="K22" i="25"/>
  <c r="AO12" i="21"/>
  <c r="K17" i="25"/>
  <c r="AO11" i="20"/>
  <c r="AO9"/>
  <c r="AO18"/>
  <c r="E13" i="25"/>
  <c r="E11"/>
  <c r="E10"/>
  <c r="AO18" i="18"/>
  <c r="AO24"/>
  <c r="K20" i="25"/>
  <c r="K18"/>
  <c r="AO26" i="18"/>
  <c r="AO12"/>
  <c r="H28"/>
  <c r="AO11"/>
  <c r="AO22"/>
  <c r="AO19" i="17"/>
  <c r="AO10" i="16"/>
  <c r="AO19"/>
  <c r="AO11" i="15"/>
  <c r="AO10"/>
  <c r="AO18"/>
  <c r="AO18" i="14"/>
  <c r="AO10"/>
  <c r="AO11"/>
  <c r="AO11" i="13"/>
  <c r="AO21" i="12"/>
  <c r="K21" i="25"/>
  <c r="K19"/>
  <c r="K15"/>
  <c r="K10"/>
  <c r="AO17" i="11"/>
  <c r="AO18" i="9"/>
  <c r="AO18" i="8"/>
  <c r="AO17"/>
  <c r="AO17" i="7"/>
  <c r="G30" i="25"/>
  <c r="AO9" i="7"/>
  <c r="AO18"/>
  <c r="H18" i="25"/>
  <c r="H12"/>
  <c r="H9"/>
  <c r="H22"/>
  <c r="H16"/>
  <c r="H10"/>
  <c r="K16"/>
  <c r="K13"/>
  <c r="K11"/>
  <c r="AO10" i="5"/>
  <c r="AI9" i="25"/>
  <c r="AF9"/>
  <c r="AF11"/>
  <c r="AC9"/>
  <c r="Z10"/>
  <c r="Z9"/>
  <c r="W9"/>
  <c r="W11"/>
  <c r="Q11"/>
  <c r="Q12"/>
  <c r="N13"/>
  <c r="AO9" i="4"/>
  <c r="AO16"/>
  <c r="AO13"/>
  <c r="E9" i="25"/>
  <c r="AO21" i="21"/>
  <c r="AO21" i="17"/>
  <c r="AO21" i="16"/>
  <c r="AL21" i="25"/>
  <c r="AO21" i="11"/>
  <c r="AL9" i="25"/>
  <c r="AL19"/>
  <c r="AO19" i="10"/>
  <c r="AO18" i="17"/>
  <c r="AL30" i="6"/>
  <c r="AO18" i="1"/>
  <c r="AL30" i="13"/>
  <c r="AI14" i="25"/>
  <c r="AI11"/>
  <c r="AO11" i="5"/>
  <c r="AI30" i="13"/>
  <c r="AO9" i="21"/>
  <c r="AI30" i="7"/>
  <c r="AI30" i="4"/>
  <c r="AO19" i="15"/>
  <c r="AI30" i="6"/>
  <c r="AI19" i="25"/>
  <c r="AO19" i="21"/>
  <c r="AF19" i="25"/>
  <c r="AO19" i="20"/>
  <c r="AF18" i="25"/>
  <c r="AF14"/>
  <c r="AF12"/>
  <c r="AO12" i="15"/>
  <c r="AF30" i="16"/>
  <c r="AF30" i="14"/>
  <c r="AF10" i="25"/>
  <c r="AF30" i="4"/>
  <c r="AC11" i="25"/>
  <c r="E22"/>
  <c r="E17"/>
  <c r="E27"/>
  <c r="E20"/>
  <c r="E19"/>
  <c r="E21"/>
  <c r="E18"/>
  <c r="E15"/>
  <c r="E25"/>
  <c r="E16"/>
  <c r="E14"/>
  <c r="E12"/>
  <c r="AC21"/>
  <c r="AO21" i="7"/>
  <c r="AC19" i="25"/>
  <c r="AO19" i="11"/>
  <c r="AC14" i="25"/>
  <c r="AC30" i="13"/>
  <c r="AO10" i="21"/>
  <c r="AC30" i="9"/>
  <c r="AC10" i="25"/>
  <c r="AO10" i="7"/>
  <c r="AO21" i="15"/>
  <c r="AO21" i="1"/>
  <c r="Z14" i="25"/>
  <c r="Z11"/>
  <c r="AO9" i="16"/>
  <c r="Z30" i="4"/>
  <c r="Z19" i="25"/>
  <c r="Z18"/>
  <c r="W19"/>
  <c r="W18"/>
  <c r="W14"/>
  <c r="AO12" i="24"/>
  <c r="W30" i="5"/>
  <c r="W10" i="25"/>
  <c r="AO10" i="1"/>
  <c r="W30" i="17"/>
  <c r="W30" i="7"/>
  <c r="W30" i="6"/>
  <c r="AO10" i="18"/>
  <c r="T9" i="25"/>
  <c r="T14"/>
  <c r="AN28" i="18"/>
  <c r="T30" i="15"/>
  <c r="T30" i="13"/>
  <c r="T19" i="25"/>
  <c r="AO19" i="1"/>
  <c r="T30" i="7"/>
  <c r="AN30" i="22"/>
  <c r="AO12" i="20"/>
  <c r="AN30" i="5"/>
  <c r="Q13" i="25"/>
  <c r="AO13" i="11"/>
  <c r="AN30" i="9"/>
  <c r="AN30" i="7"/>
  <c r="AO14" i="5"/>
  <c r="AO14" i="14"/>
  <c r="AO14" i="6"/>
  <c r="AO30" s="1"/>
  <c r="AO15" i="24"/>
  <c r="AO15" i="23"/>
  <c r="AO28" s="1"/>
  <c r="AO14" i="22"/>
  <c r="AO14" i="21"/>
  <c r="AO14" i="20"/>
  <c r="AO15" i="18"/>
  <c r="AO14" i="17"/>
  <c r="AO14" i="16"/>
  <c r="AO14" i="15"/>
  <c r="AO14" i="13"/>
  <c r="AO14" i="12"/>
  <c r="AO14" i="11"/>
  <c r="AO14" i="10"/>
  <c r="AO14" i="9"/>
  <c r="AO14" i="8"/>
  <c r="AO14" i="7"/>
  <c r="AO14" i="4"/>
  <c r="AO14" i="1"/>
  <c r="AN30" i="17"/>
  <c r="AN30" i="12"/>
  <c r="Q21" i="25"/>
  <c r="AO21" i="10"/>
  <c r="AN30" i="20"/>
  <c r="AN30" i="6"/>
  <c r="AN30" i="13"/>
  <c r="AN30" i="8"/>
  <c r="AN28" i="23"/>
  <c r="AN30" i="15"/>
  <c r="AN30" i="4"/>
  <c r="AN28" i="24"/>
  <c r="AN30" i="21"/>
  <c r="AN30" i="16"/>
  <c r="AN30" i="14"/>
  <c r="AN30" i="10"/>
  <c r="Q30" i="8"/>
  <c r="Q17" i="25"/>
  <c r="Q30" i="6"/>
  <c r="AM11" i="25"/>
  <c r="T30" i="1"/>
  <c r="Z30"/>
  <c r="AC30"/>
  <c r="AL30"/>
  <c r="Q30"/>
  <c r="AO14" i="25" l="1"/>
  <c r="AO16"/>
  <c r="AO19"/>
  <c r="AO15"/>
  <c r="AO30" i="12"/>
  <c r="AO18" i="25"/>
  <c r="AO22"/>
  <c r="AO9"/>
  <c r="AO17"/>
  <c r="AO21"/>
  <c r="AO13"/>
  <c r="AO12"/>
  <c r="AO11"/>
  <c r="AO10"/>
  <c r="AO30" i="4"/>
  <c r="E30" i="25"/>
  <c r="I24"/>
  <c r="I30" i="11"/>
  <c r="I30" i="25" s="1"/>
  <c r="AO30" i="16"/>
  <c r="H30" i="25"/>
  <c r="AO30" i="22"/>
  <c r="AO30" i="21"/>
  <c r="AO30" i="20"/>
  <c r="AO30" i="17"/>
  <c r="AO30" i="15"/>
  <c r="AO30" i="14"/>
  <c r="AO30" i="13"/>
  <c r="AO30" i="9"/>
  <c r="AO30" i="8"/>
  <c r="AO30" i="5"/>
  <c r="AO30" i="7"/>
  <c r="AO30" i="10"/>
  <c r="AO30" i="1"/>
  <c r="AO28" i="24"/>
  <c r="AO28" i="18"/>
  <c r="K24" i="11" l="1"/>
  <c r="K24" i="25" s="1"/>
  <c r="K30" i="11" l="1"/>
  <c r="K30" i="25" s="1"/>
  <c r="J30"/>
  <c r="L30" i="11" l="1"/>
  <c r="L30" i="25" s="1"/>
  <c r="L24"/>
  <c r="N24" i="11" l="1"/>
  <c r="M24" i="25"/>
  <c r="N30" i="11" l="1"/>
  <c r="N30" i="25" s="1"/>
  <c r="M30"/>
  <c r="O24" i="11"/>
  <c r="N24" i="25"/>
  <c r="P30" i="11" l="1"/>
  <c r="O24" i="25"/>
  <c r="O30" i="11"/>
  <c r="O30" i="25" s="1"/>
  <c r="Q24" i="11" l="1"/>
  <c r="P24" i="25"/>
  <c r="Q30" i="11" l="1"/>
  <c r="Q30" i="25" s="1"/>
  <c r="P30"/>
  <c r="Q24"/>
  <c r="R24" l="1"/>
  <c r="R30" i="11"/>
  <c r="R30" i="25" s="1"/>
  <c r="T24" i="11" l="1"/>
  <c r="S24" i="25"/>
  <c r="S30" i="11"/>
  <c r="T30" l="1"/>
  <c r="T30" i="25" s="1"/>
  <c r="S30"/>
  <c r="U24" i="11"/>
  <c r="T24" i="25"/>
  <c r="V24" i="11" l="1"/>
  <c r="U30"/>
  <c r="U30" i="25" s="1"/>
  <c r="U24"/>
  <c r="W24" i="11" l="1"/>
  <c r="V24" i="25"/>
  <c r="V30" i="11"/>
  <c r="W30" l="1"/>
  <c r="W30" i="25" s="1"/>
  <c r="V30"/>
  <c r="X24" i="11"/>
  <c r="W24" i="25"/>
  <c r="X30" i="11" l="1"/>
  <c r="X30" i="25" s="1"/>
  <c r="X24"/>
  <c r="Z24" i="11" l="1"/>
  <c r="Y24" i="25"/>
  <c r="Y30" i="11"/>
  <c r="Z30" l="1"/>
  <c r="Z30" i="25" s="1"/>
  <c r="Y30"/>
  <c r="Z24"/>
  <c r="AA24" l="1"/>
  <c r="AA30" i="11"/>
  <c r="AA30" i="25" s="1"/>
  <c r="AC24" i="11" l="1"/>
  <c r="AB24" i="25"/>
  <c r="AB30" i="11"/>
  <c r="AC30" l="1"/>
  <c r="AC30" i="25" s="1"/>
  <c r="AB30"/>
  <c r="AD24" i="11"/>
  <c r="AC24" i="25"/>
  <c r="AE24" i="11" l="1"/>
  <c r="AD24" i="25"/>
  <c r="AD30" i="11"/>
  <c r="AD30" i="25" s="1"/>
  <c r="AF24" i="11" l="1"/>
  <c r="AE24" i="25"/>
  <c r="AE30" i="11"/>
  <c r="AG24" l="1"/>
  <c r="AF24" i="25"/>
  <c r="AF30" i="11"/>
  <c r="AF30" i="25" s="1"/>
  <c r="AE30"/>
  <c r="AH24" i="11" l="1"/>
  <c r="AG30"/>
  <c r="AG30" i="25" s="1"/>
  <c r="AG24"/>
  <c r="AI24" i="11" l="1"/>
  <c r="AH24" i="25"/>
  <c r="AH30" i="11"/>
  <c r="AH30" i="25" l="1"/>
  <c r="AI30" i="11"/>
  <c r="AI30" i="25" s="1"/>
  <c r="AJ24" i="11"/>
  <c r="AI24" i="25"/>
  <c r="AK24" i="11" l="1"/>
  <c r="AN24" s="1"/>
  <c r="AN24" i="25" s="1"/>
  <c r="AJ30" i="11"/>
  <c r="AJ30" i="25" s="1"/>
  <c r="AJ24"/>
  <c r="AL24" i="11" l="1"/>
  <c r="AO24" s="1"/>
  <c r="AO24" i="25" s="1"/>
  <c r="AK24"/>
  <c r="AK30" i="11"/>
  <c r="AO30" l="1"/>
  <c r="AM24"/>
  <c r="AL24" i="25"/>
  <c r="AK30"/>
  <c r="AL30" i="11"/>
  <c r="AL30" i="25" s="1"/>
  <c r="AM24" l="1"/>
  <c r="AM30" i="11"/>
  <c r="AM30" i="25" s="1"/>
  <c r="AN30" i="11" l="1"/>
  <c r="H29" i="6"/>
  <c r="AO29"/>
  <c r="AN29"/>
  <c r="AN29" i="13"/>
  <c r="H29"/>
  <c r="AO29" s="1"/>
  <c r="AN29" i="16"/>
  <c r="H29"/>
  <c r="H29" i="25" s="1"/>
  <c r="AN29" l="1"/>
  <c r="AN30" s="1"/>
  <c r="AO29" i="16"/>
  <c r="AO29" i="25" l="1"/>
  <c r="AO30" s="1"/>
</calcChain>
</file>

<file path=xl/sharedStrings.xml><?xml version="1.0" encoding="utf-8"?>
<sst xmlns="http://schemas.openxmlformats.org/spreadsheetml/2006/main" count="1693" uniqueCount="69">
  <si>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</si>
  <si>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</si>
  <si>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</si>
  <si>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</si>
  <si>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</si>
  <si>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</si>
  <si>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</si>
  <si>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</si>
  <si>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</si>
  <si>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</si>
  <si>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</si>
  <si>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</si>
  <si>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</si>
  <si>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Окремі заходи по реалізації державних (регіональних) програм, не віднесені до заходів розвитку</t>
  </si>
  <si>
    <t>Соціальне забезпечення</t>
  </si>
  <si>
    <t>Придбання обладнання, предметів довгострокового користування</t>
  </si>
  <si>
    <t>Капітальний ремонт інших об'єктів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</si>
  <si>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</si>
  <si>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</si>
  <si>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</si>
  <si>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</si>
  <si>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</si>
  <si>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</si>
  <si>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</si>
  <si>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</si>
  <si>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</si>
  <si>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</si>
  <si>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</si>
  <si>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</si>
  <si>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Разом</t>
  </si>
  <si>
    <t>Всього</t>
  </si>
  <si>
    <t>до наказу управління освіти і науки</t>
  </si>
  <si>
    <t>виконкому міської ради</t>
  </si>
  <si>
    <t>від 23.02.2016 №56</t>
  </si>
  <si>
    <t>Додаток 3</t>
  </si>
  <si>
    <t xml:space="preserve">Інформація </t>
  </si>
  <si>
    <t>державний</t>
  </si>
  <si>
    <t>разом</t>
  </si>
  <si>
    <t>Керівник</t>
  </si>
  <si>
    <t>Виконавець(ПІБ,тел.)</t>
  </si>
  <si>
    <t>щодо фактичного використання бюджетних коштів у 2021</t>
  </si>
  <si>
    <t xml:space="preserve">Криворізька  гімназія  №83 Криворізької міської ради </t>
  </si>
  <si>
    <t>0611021</t>
  </si>
  <si>
    <t>місцевий</t>
  </si>
  <si>
    <t>Інші поточні видатки</t>
  </si>
  <si>
    <t>Криворізька гімназія №38 Криворізької міської ради</t>
  </si>
  <si>
    <t xml:space="preserve">Криворізька гімназія №40 Криворізької міської ради </t>
  </si>
  <si>
    <t xml:space="preserve">Криворізька гімназія №76 Криворізької міської ради </t>
  </si>
  <si>
    <t>Комунальний заклад "Навчально-виховний комплекс "Дошкільний навчальний заклад комбінованого типу - загальноосвітня школа I ступеня №291"</t>
  </si>
  <si>
    <t xml:space="preserve">сверка с проводками </t>
  </si>
  <si>
    <t xml:space="preserve">Криворізька гімназія  №42 Криворізької міської ради </t>
  </si>
  <si>
    <t xml:space="preserve">Криворізька гімназія  №45 Криворізької міської ради </t>
  </si>
  <si>
    <t xml:space="preserve">Криворізька гімназія  №48 Криворізької міської ради </t>
  </si>
  <si>
    <t xml:space="preserve">Криворізька гімназія  №50 Криворізької міської ради </t>
  </si>
  <si>
    <t xml:space="preserve">Криворізька гімназія  №55  Криворізької міської ради </t>
  </si>
  <si>
    <t xml:space="preserve">Криворізький ліцей №77  Криворізької міської ради </t>
  </si>
  <si>
    <t xml:space="preserve">Криворізька гімназія  № 78 Криворізької міської ради </t>
  </si>
  <si>
    <t xml:space="preserve">Криворізька гімназія  № 110  Криворізької міської ради </t>
  </si>
  <si>
    <t xml:space="preserve">Криворізька гімназія  №117  Криворізької міської ради </t>
  </si>
  <si>
    <t>щодо фактичного використання бюджетних коштів у 2023</t>
  </si>
  <si>
    <t>зв</t>
  </si>
  <si>
    <t xml:space="preserve"> </t>
  </si>
  <si>
    <t xml:space="preserve">   </t>
  </si>
  <si>
    <t xml:space="preserve">Криворізька гімназія  №61  Криворізької міської ради </t>
  </si>
  <si>
    <t xml:space="preserve">Криворізький  Тернівський ліцей    Криворізької міської ради </t>
  </si>
  <si>
    <t>Реалізація Національної програми  інформатизації</t>
  </si>
  <si>
    <t xml:space="preserve">  </t>
  </si>
  <si>
    <t>щодо фактичного використання бюджетних коштів у 2026</t>
  </si>
  <si>
    <t>щодо фактичного використання бюджетних коштів у 202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</si>
</sst>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5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2" fontId="5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0" xfId="0" applyFont="1"/>
    <xf numFmtId="0" fontId="0" fillId="0" borderId="0" xfId="0" applyAlignment="1"/>
    <xf numFmtId="2" fontId="4" fillId="0" borderId="0" xfId="0" applyNumberFormat="1" applyFont="1" applyBorder="1"/>
    <xf numFmtId="2" fontId="8" fillId="0" borderId="3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right"/>
    </xf>
    <xf numFmtId="0" fontId="9" fillId="0" borderId="0" xfId="0" applyFont="1"/>
    <xf numFmtId="0" fontId="10" fillId="0" borderId="0" xfId="0" applyFont="1"/>
    <xf numFmtId="2" fontId="11" fillId="0" borderId="1" xfId="0" applyNumberFormat="1" applyFont="1" applyFill="1" applyBorder="1"/>
    <xf numFmtId="2" fontId="11" fillId="0" borderId="3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2" fillId="0" borderId="0" xfId="0" applyFont="1" applyAlignment="1"/>
    <xf numFmtId="0" fontId="1" fillId="0" borderId="1" xfId="0" applyFont="1" applyBorder="1"/>
    <xf numFmtId="2" fontId="1" fillId="0" borderId="1" xfId="0" applyNumberFormat="1" applyFont="1" applyBorder="1"/>
    <xf numFmtId="2" fontId="1" fillId="0" borderId="1" xfId="0" applyNumberFormat="1" applyFont="1" applyFill="1" applyBorder="1"/>
    <xf numFmtId="4" fontId="1" fillId="0" borderId="1" xfId="0" applyNumberFormat="1" applyFont="1" applyBorder="1"/>
    <xf numFmtId="4" fontId="1" fillId="0" borderId="1" xfId="0" applyNumberFormat="1" applyFont="1" applyFill="1" applyBorder="1"/>
    <xf numFmtId="0" fontId="12" fillId="0" borderId="0" xfId="0" applyFont="1"/>
    <xf numFmtId="4" fontId="12" fillId="0" borderId="0" xfId="0" applyNumberFormat="1" applyFont="1"/>
    <xf numFmtId="1" fontId="12" fillId="0" borderId="0" xfId="0" applyNumberFormat="1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4" fontId="3" fillId="0" borderId="1" xfId="0" applyNumberFormat="1" applyFont="1" applyBorder="1"/>
    <xf numFmtId="0" fontId="13" fillId="0" borderId="0" xfId="0" applyFont="1"/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Fill="1" applyBorder="1"/>
    <xf numFmtId="4" fontId="1" fillId="0" borderId="0" xfId="0" applyNumberFormat="1" applyFont="1" applyBorder="1"/>
    <xf numFmtId="4" fontId="3" fillId="0" borderId="0" xfId="0" applyNumberFormat="1" applyFont="1" applyBorder="1"/>
    <xf numFmtId="4" fontId="1" fillId="2" borderId="1" xfId="0" applyNumberFormat="1" applyFont="1" applyFill="1" applyBorder="1"/>
    <xf numFmtId="164" fontId="4" fillId="0" borderId="1" xfId="0" applyNumberFormat="1" applyFont="1" applyBorder="1"/>
    <xf numFmtId="0" fontId="1" fillId="0" borderId="0" xfId="0" applyFont="1"/>
    <xf numFmtId="4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2" fillId="0" borderId="0" xfId="0" applyNumberFormat="1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7" topLeftCell="S8" activePane="bottomRight" state="frozen"/>
      <selection pane="topRight" activeCell="C1" sqref="C1"/>
      <selection pane="bottomLeft" activeCell="A9" sqref="A9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5" width="10.88671875" customWidth="1"/>
    <col min="6" max="6" width="11.6640625" customWidth="1"/>
    <col min="7" max="7" width="12.5546875" customWidth="1"/>
    <col min="8" max="8" width="14.33203125" customWidth="1"/>
    <col min="9" max="9" width="11.109375" customWidth="1"/>
    <col min="10" max="10" width="11.6640625" customWidth="1"/>
    <col min="11" max="11" width="11.33203125" customWidth="1"/>
    <col min="12" max="12" width="12.44140625" customWidth="1"/>
    <col min="13" max="13" width="10.6640625" customWidth="1"/>
    <col min="14" max="14" width="11.109375" customWidth="1"/>
    <col min="15" max="15" width="13.5546875" customWidth="1"/>
    <col min="16" max="16" width="10.44140625" customWidth="1"/>
    <col min="17" max="17" width="11.109375" customWidth="1"/>
    <col min="18" max="18" width="11.44140625" customWidth="1"/>
    <col min="19" max="19" width="11.109375" customWidth="1"/>
    <col min="20" max="20" width="12.109375" customWidth="1"/>
    <col min="21" max="21" width="10.33203125" customWidth="1"/>
    <col min="22" max="22" width="11.88671875" customWidth="1"/>
    <col min="23" max="23" width="12.33203125" customWidth="1"/>
    <col min="24" max="24" width="11.44140625" customWidth="1"/>
    <col min="25" max="25" width="11.5546875" customWidth="1"/>
    <col min="26" max="26" width="12.109375" customWidth="1"/>
    <col min="27" max="27" width="11.44140625" customWidth="1"/>
    <col min="28" max="28" width="10.88671875" customWidth="1"/>
    <col min="29" max="29" width="10.6640625" customWidth="1"/>
    <col min="30" max="30" width="11.44140625" customWidth="1"/>
    <col min="31" max="31" width="13.6640625" customWidth="1"/>
    <col min="32" max="32" width="11.5546875" customWidth="1"/>
    <col min="33" max="33" width="11.33203125" customWidth="1"/>
    <col min="34" max="34" width="13.109375" customWidth="1"/>
    <col min="35" max="35" width="10.5546875" customWidth="1"/>
    <col min="36" max="36" width="11.88671875" customWidth="1"/>
    <col min="37" max="37" width="11.33203125" customWidth="1"/>
    <col min="38" max="38" width="11.77734375" customWidth="1"/>
    <col min="39" max="39" width="12.33203125" customWidth="1"/>
    <col min="40" max="40" width="12" customWidth="1"/>
    <col min="41" max="41" width="11.5546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1.25" customHeight="1">
      <c r="L4" s="1"/>
      <c r="M4" s="1"/>
      <c r="N4" s="1"/>
      <c r="O4" s="1"/>
      <c r="R4" s="1" t="s">
        <v>33</v>
      </c>
      <c r="S4" s="1"/>
      <c r="T4" s="1"/>
    </row>
    <row r="5" spans="1:41" ht="19.5" customHeight="1">
      <c r="A5" s="54" t="s">
        <v>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4" t="s">
        <v>67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42.75" customHeight="1">
      <c r="A8" s="10"/>
      <c r="B8" s="11"/>
      <c r="C8" s="9" t="s">
        <v>36</v>
      </c>
      <c r="D8" s="21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230622.39</v>
      </c>
      <c r="E9" s="4">
        <f>D9+C9</f>
        <v>230622.39</v>
      </c>
      <c r="F9" s="4"/>
      <c r="G9" s="4">
        <v>234321.42</v>
      </c>
      <c r="H9" s="4">
        <f>G9+F9</f>
        <v>234321.42</v>
      </c>
      <c r="I9" s="4"/>
      <c r="J9" s="4">
        <v>242451.68</v>
      </c>
      <c r="K9" s="4">
        <f>J9+I9</f>
        <v>242451.68</v>
      </c>
      <c r="L9" s="4"/>
      <c r="M9" s="4">
        <v>242488.04</v>
      </c>
      <c r="N9" s="4">
        <f>M9+L9</f>
        <v>242488.04</v>
      </c>
      <c r="O9" s="3"/>
      <c r="P9" s="3">
        <v>240735.64</v>
      </c>
      <c r="Q9" s="4">
        <f>P9+O9</f>
        <v>240735.64</v>
      </c>
      <c r="R9" s="3"/>
      <c r="S9" s="3">
        <v>281083.21999999997</v>
      </c>
      <c r="T9" s="4">
        <f>S9+R9</f>
        <v>281083.21999999997</v>
      </c>
      <c r="U9" s="3"/>
      <c r="V9" s="3">
        <v>265994.53000000003</v>
      </c>
      <c r="W9" s="4">
        <f>V9+U9</f>
        <v>265994.53000000003</v>
      </c>
      <c r="X9" s="3"/>
      <c r="Y9" s="3">
        <v>204640.19</v>
      </c>
      <c r="Z9" s="4">
        <f>Y9+X9</f>
        <v>204640.19</v>
      </c>
      <c r="AA9" s="3"/>
      <c r="AB9" s="4">
        <v>248702.59</v>
      </c>
      <c r="AC9" s="4">
        <f>AB9+AA9</f>
        <v>248702.59</v>
      </c>
      <c r="AD9" s="3"/>
      <c r="AE9" s="3"/>
      <c r="AF9" s="4">
        <f>AE9+AD9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 t="shared" ref="AM9:AM29" si="0">AJ9+AG9+AD9+AA9+X9+U9+R9+O9+L9+I9+F9+C9</f>
        <v>0</v>
      </c>
      <c r="AN9" s="4">
        <f t="shared" ref="AN9:AO27" si="1">AK9+AH9+AE9+AB9+Y9+V9+S9+P9+M9+J9+G9+D9</f>
        <v>2191039.6999999997</v>
      </c>
      <c r="AO9" s="4">
        <f t="shared" si="1"/>
        <v>2191039.6999999997</v>
      </c>
    </row>
    <row r="10" spans="1:41" ht="20.100000000000001" customHeight="1">
      <c r="A10" s="3">
        <v>2120</v>
      </c>
      <c r="B10" s="3" t="s">
        <v>1</v>
      </c>
      <c r="C10" s="4"/>
      <c r="D10" s="4">
        <v>50115.76</v>
      </c>
      <c r="E10" s="4">
        <f t="shared" ref="E10:E29" si="2">D10+C10</f>
        <v>50115.76</v>
      </c>
      <c r="F10" s="4"/>
      <c r="G10" s="4">
        <v>51939.35</v>
      </c>
      <c r="H10" s="4">
        <f t="shared" ref="H10:H29" si="3">G10+F10</f>
        <v>51939.35</v>
      </c>
      <c r="I10" s="4"/>
      <c r="J10" s="4">
        <v>53168.95</v>
      </c>
      <c r="K10" s="4">
        <f t="shared" ref="K10:K30" si="4">J10+I10</f>
        <v>53168.95</v>
      </c>
      <c r="L10" s="4"/>
      <c r="M10" s="4">
        <v>52995.42</v>
      </c>
      <c r="N10" s="4">
        <f t="shared" ref="N10:N30" si="5">M10+L10</f>
        <v>52995.42</v>
      </c>
      <c r="O10" s="4"/>
      <c r="P10" s="3">
        <v>52502.81</v>
      </c>
      <c r="Q10" s="4">
        <f t="shared" ref="Q10:Q30" si="6">P10+O10</f>
        <v>52502.81</v>
      </c>
      <c r="R10" s="3"/>
      <c r="S10" s="3">
        <v>59912.67</v>
      </c>
      <c r="T10" s="4">
        <f t="shared" ref="T10:T29" si="7">S10+R10</f>
        <v>59912.67</v>
      </c>
      <c r="U10" s="3"/>
      <c r="V10" s="3">
        <v>56568.33</v>
      </c>
      <c r="W10" s="4">
        <f t="shared" ref="W10:W29" si="8">V10+U10</f>
        <v>56568.33</v>
      </c>
      <c r="X10" s="3"/>
      <c r="Y10" s="3">
        <v>45032.67</v>
      </c>
      <c r="Z10" s="4">
        <f t="shared" ref="Z10:Z29" si="9">Y10+X10</f>
        <v>45032.67</v>
      </c>
      <c r="AA10" s="4"/>
      <c r="AB10" s="4">
        <v>53516.94</v>
      </c>
      <c r="AC10" s="4">
        <f t="shared" ref="AC10:AC29" si="10">AB10+AA10</f>
        <v>53516.94</v>
      </c>
      <c r="AD10" s="3"/>
      <c r="AE10" s="43"/>
      <c r="AF10" s="4">
        <f t="shared" ref="AF10:AF29" si="11">AE10+AD10</f>
        <v>0</v>
      </c>
      <c r="AG10" s="3"/>
      <c r="AH10" s="3"/>
      <c r="AI10" s="4">
        <f t="shared" ref="AI10:AI29" si="12">AH10+AG10</f>
        <v>0</v>
      </c>
      <c r="AJ10" s="3"/>
      <c r="AK10" s="4"/>
      <c r="AL10" s="4">
        <f t="shared" ref="AL10:AL29" si="13">AK10+AJ10</f>
        <v>0</v>
      </c>
      <c r="AM10" s="4">
        <f t="shared" si="0"/>
        <v>0</v>
      </c>
      <c r="AN10" s="4">
        <f t="shared" si="1"/>
        <v>475752.89999999997</v>
      </c>
      <c r="AO10" s="4">
        <f t="shared" si="1"/>
        <v>475752.89999999997</v>
      </c>
    </row>
    <row r="11" spans="1:41" ht="20.100000000000001" customHeight="1">
      <c r="A11" s="3">
        <v>2210</v>
      </c>
      <c r="B11" s="3" t="s">
        <v>2</v>
      </c>
      <c r="C11" s="4"/>
      <c r="D11" s="4">
        <v>2431.12</v>
      </c>
      <c r="E11" s="4">
        <f t="shared" si="2"/>
        <v>2431.12</v>
      </c>
      <c r="F11" s="4"/>
      <c r="G11" s="4">
        <v>1751.8</v>
      </c>
      <c r="H11" s="4">
        <f t="shared" si="3"/>
        <v>1751.8</v>
      </c>
      <c r="I11" s="4"/>
      <c r="J11" s="4">
        <v>1337.88</v>
      </c>
      <c r="K11" s="4">
        <f t="shared" si="4"/>
        <v>1337.88</v>
      </c>
      <c r="L11" s="4"/>
      <c r="M11" s="4">
        <v>1337.88</v>
      </c>
      <c r="N11" s="4">
        <f t="shared" si="5"/>
        <v>1337.88</v>
      </c>
      <c r="O11" s="4"/>
      <c r="P11" s="3">
        <v>613.95000000000005</v>
      </c>
      <c r="Q11" s="4">
        <f t="shared" si="6"/>
        <v>613.95000000000005</v>
      </c>
      <c r="R11" s="3"/>
      <c r="S11" s="4">
        <v>619.75</v>
      </c>
      <c r="T11" s="4">
        <f t="shared" si="7"/>
        <v>619.75</v>
      </c>
      <c r="U11" s="3"/>
      <c r="V11" s="3">
        <v>278.39999999999998</v>
      </c>
      <c r="W11" s="4">
        <f t="shared" si="8"/>
        <v>278.39999999999998</v>
      </c>
      <c r="X11" s="3"/>
      <c r="Y11" s="3">
        <v>479.6</v>
      </c>
      <c r="Z11" s="4">
        <f t="shared" si="9"/>
        <v>479.6</v>
      </c>
      <c r="AA11" s="3"/>
      <c r="AB11" s="19">
        <v>1611.81</v>
      </c>
      <c r="AC11" s="4">
        <f t="shared" si="10"/>
        <v>1611.81</v>
      </c>
      <c r="AD11" s="3"/>
      <c r="AE11" s="3"/>
      <c r="AF11" s="4">
        <f t="shared" si="11"/>
        <v>0</v>
      </c>
      <c r="AG11" s="3"/>
      <c r="AH11" s="3"/>
      <c r="AI11" s="4">
        <f t="shared" si="12"/>
        <v>0</v>
      </c>
      <c r="AJ11" s="3"/>
      <c r="AK11" s="4"/>
      <c r="AL11" s="4">
        <f t="shared" si="13"/>
        <v>0</v>
      </c>
      <c r="AM11" s="4">
        <f t="shared" si="0"/>
        <v>0</v>
      </c>
      <c r="AN11" s="4">
        <f t="shared" si="1"/>
        <v>10462.19</v>
      </c>
      <c r="AO11" s="4">
        <f t="shared" si="1"/>
        <v>10462.19</v>
      </c>
    </row>
    <row r="12" spans="1:41" ht="20.100000000000001" customHeight="1">
      <c r="A12" s="3">
        <v>2220</v>
      </c>
      <c r="B12" s="3" t="s">
        <v>3</v>
      </c>
      <c r="C12" s="4"/>
      <c r="D12" s="4">
        <v>1011.96</v>
      </c>
      <c r="E12" s="4">
        <f t="shared" si="2"/>
        <v>1011.96</v>
      </c>
      <c r="F12" s="4"/>
      <c r="G12" s="4">
        <v>1011.96</v>
      </c>
      <c r="H12" s="4">
        <f t="shared" si="3"/>
        <v>1011.96</v>
      </c>
      <c r="I12" s="4"/>
      <c r="J12" s="4">
        <v>1110.22</v>
      </c>
      <c r="K12" s="4">
        <f t="shared" si="4"/>
        <v>1110.22</v>
      </c>
      <c r="L12" s="4"/>
      <c r="M12" s="4">
        <v>1011.96</v>
      </c>
      <c r="N12" s="4">
        <f t="shared" si="5"/>
        <v>1011.96</v>
      </c>
      <c r="O12" s="4"/>
      <c r="P12" s="3">
        <v>1371.89</v>
      </c>
      <c r="Q12" s="4">
        <f t="shared" si="6"/>
        <v>1371.89</v>
      </c>
      <c r="R12" s="3"/>
      <c r="S12" s="3">
        <v>582.07000000000005</v>
      </c>
      <c r="T12" s="4">
        <f t="shared" si="7"/>
        <v>582.07000000000005</v>
      </c>
      <c r="U12" s="3"/>
      <c r="V12" s="3"/>
      <c r="W12" s="4">
        <f t="shared" si="8"/>
        <v>0</v>
      </c>
      <c r="X12" s="3"/>
      <c r="Y12" s="3"/>
      <c r="Z12" s="4">
        <f t="shared" si="9"/>
        <v>0</v>
      </c>
      <c r="AA12" s="3"/>
      <c r="AB12" s="3">
        <v>1113.1500000000001</v>
      </c>
      <c r="AC12" s="4">
        <f t="shared" si="10"/>
        <v>1113.1500000000001</v>
      </c>
      <c r="AD12" s="3"/>
      <c r="AE12" s="4"/>
      <c r="AF12" s="4">
        <f t="shared" si="11"/>
        <v>0</v>
      </c>
      <c r="AG12" s="3"/>
      <c r="AH12" s="3"/>
      <c r="AI12" s="4">
        <f t="shared" si="12"/>
        <v>0</v>
      </c>
      <c r="AJ12" s="3"/>
      <c r="AK12" s="3"/>
      <c r="AL12" s="4">
        <f t="shared" si="13"/>
        <v>0</v>
      </c>
      <c r="AM12" s="4">
        <f t="shared" si="0"/>
        <v>0</v>
      </c>
      <c r="AN12" s="4">
        <f t="shared" si="1"/>
        <v>7213.2100000000009</v>
      </c>
      <c r="AO12" s="4">
        <f t="shared" si="1"/>
        <v>7213.2100000000009</v>
      </c>
    </row>
    <row r="13" spans="1:41" ht="20.100000000000001" customHeight="1">
      <c r="A13" s="3">
        <v>2230</v>
      </c>
      <c r="B13" s="3" t="s">
        <v>4</v>
      </c>
      <c r="C13" s="4"/>
      <c r="D13" s="4">
        <v>8101.55</v>
      </c>
      <c r="E13" s="4">
        <f t="shared" si="2"/>
        <v>8101.55</v>
      </c>
      <c r="F13" s="4"/>
      <c r="G13" s="4">
        <v>7851.3</v>
      </c>
      <c r="H13" s="4">
        <f t="shared" si="3"/>
        <v>7851.3</v>
      </c>
      <c r="I13" s="4"/>
      <c r="J13" s="4">
        <v>6902.39</v>
      </c>
      <c r="K13" s="4">
        <f t="shared" si="4"/>
        <v>6902.39</v>
      </c>
      <c r="L13" s="4"/>
      <c r="M13" s="4">
        <v>12503.07</v>
      </c>
      <c r="N13" s="4">
        <f t="shared" si="5"/>
        <v>12503.07</v>
      </c>
      <c r="O13" s="4"/>
      <c r="P13" s="4">
        <v>10351.76</v>
      </c>
      <c r="Q13" s="4">
        <f t="shared" si="6"/>
        <v>10351.76</v>
      </c>
      <c r="R13" s="3"/>
      <c r="S13" s="3"/>
      <c r="T13" s="4">
        <f t="shared" si="7"/>
        <v>0</v>
      </c>
      <c r="U13" s="3"/>
      <c r="V13" s="3"/>
      <c r="W13" s="4">
        <f t="shared" si="8"/>
        <v>0</v>
      </c>
      <c r="X13" s="3"/>
      <c r="Y13" s="3"/>
      <c r="Z13" s="4">
        <f t="shared" si="9"/>
        <v>0</v>
      </c>
      <c r="AA13" s="3"/>
      <c r="AB13" s="3">
        <v>10551.37</v>
      </c>
      <c r="AC13" s="4">
        <f t="shared" si="10"/>
        <v>10551.37</v>
      </c>
      <c r="AD13" s="3"/>
      <c r="AE13" s="3"/>
      <c r="AF13" s="4">
        <f t="shared" si="11"/>
        <v>0</v>
      </c>
      <c r="AG13" s="3"/>
      <c r="AH13" s="4"/>
      <c r="AI13" s="4">
        <f t="shared" si="12"/>
        <v>0</v>
      </c>
      <c r="AJ13" s="3"/>
      <c r="AK13" s="4"/>
      <c r="AL13" s="4">
        <f t="shared" si="13"/>
        <v>0</v>
      </c>
      <c r="AM13" s="4">
        <f t="shared" si="0"/>
        <v>0</v>
      </c>
      <c r="AN13" s="4">
        <f t="shared" si="1"/>
        <v>56261.440000000002</v>
      </c>
      <c r="AO13" s="4">
        <f t="shared" si="1"/>
        <v>56261.440000000002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2"/>
        <v>0</v>
      </c>
      <c r="F14" s="4"/>
      <c r="G14" s="4">
        <f>150+10804.02</f>
        <v>10954.02</v>
      </c>
      <c r="H14" s="4">
        <f t="shared" si="3"/>
        <v>10954.02</v>
      </c>
      <c r="I14" s="4"/>
      <c r="J14" s="4">
        <f>17898.43+150</f>
        <v>18048.43</v>
      </c>
      <c r="K14" s="4">
        <f t="shared" si="4"/>
        <v>18048.43</v>
      </c>
      <c r="L14" s="4"/>
      <c r="M14" s="4">
        <f>150+43571.69</f>
        <v>43721.69</v>
      </c>
      <c r="N14" s="4">
        <f t="shared" si="5"/>
        <v>43721.69</v>
      </c>
      <c r="O14" s="4"/>
      <c r="P14" s="3">
        <f>17319.25+150</f>
        <v>17469.25</v>
      </c>
      <c r="Q14" s="4">
        <f t="shared" si="6"/>
        <v>17469.25</v>
      </c>
      <c r="R14" s="3"/>
      <c r="S14" s="3">
        <f>38619.51+150</f>
        <v>38769.51</v>
      </c>
      <c r="T14" s="4">
        <f t="shared" si="7"/>
        <v>38769.51</v>
      </c>
      <c r="U14" s="3"/>
      <c r="V14" s="3">
        <f>285256.03+150</f>
        <v>285406.03000000003</v>
      </c>
      <c r="W14" s="4">
        <f t="shared" si="8"/>
        <v>285406.03000000003</v>
      </c>
      <c r="X14" s="3"/>
      <c r="Y14" s="3">
        <f>150+98166.6</f>
        <v>98316.6</v>
      </c>
      <c r="Z14" s="4">
        <f t="shared" si="9"/>
        <v>98316.6</v>
      </c>
      <c r="AA14" s="3"/>
      <c r="AB14" s="3">
        <f>103617.35+150</f>
        <v>103767.35</v>
      </c>
      <c r="AC14" s="4">
        <f t="shared" si="10"/>
        <v>103767.35</v>
      </c>
      <c r="AD14" s="3"/>
      <c r="AE14" s="3"/>
      <c r="AF14" s="4">
        <f t="shared" si="11"/>
        <v>0</v>
      </c>
      <c r="AG14" s="3"/>
      <c r="AH14" s="3"/>
      <c r="AI14" s="4">
        <f t="shared" si="12"/>
        <v>0</v>
      </c>
      <c r="AJ14" s="3"/>
      <c r="AK14" s="3"/>
      <c r="AL14" s="4">
        <f t="shared" si="13"/>
        <v>0</v>
      </c>
      <c r="AM14" s="4">
        <f t="shared" si="0"/>
        <v>0</v>
      </c>
      <c r="AN14" s="4">
        <f t="shared" si="1"/>
        <v>616452.88</v>
      </c>
      <c r="AO14" s="4">
        <f t="shared" si="1"/>
        <v>616452.88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2"/>
        <v>0</v>
      </c>
      <c r="F15" s="4"/>
      <c r="G15" s="4"/>
      <c r="H15" s="4">
        <f t="shared" si="3"/>
        <v>0</v>
      </c>
      <c r="I15" s="4"/>
      <c r="J15" s="4"/>
      <c r="K15" s="4">
        <f t="shared" si="4"/>
        <v>0</v>
      </c>
      <c r="L15" s="4"/>
      <c r="M15" s="4"/>
      <c r="N15" s="4">
        <f t="shared" si="5"/>
        <v>0</v>
      </c>
      <c r="O15" s="4"/>
      <c r="P15" s="3"/>
      <c r="Q15" s="4">
        <f t="shared" si="6"/>
        <v>0</v>
      </c>
      <c r="R15" s="3"/>
      <c r="S15" s="3"/>
      <c r="T15" s="4">
        <f t="shared" si="7"/>
        <v>0</v>
      </c>
      <c r="U15" s="3"/>
      <c r="V15" s="3"/>
      <c r="W15" s="4">
        <f t="shared" si="8"/>
        <v>0</v>
      </c>
      <c r="X15" s="3"/>
      <c r="Y15" s="3"/>
      <c r="Z15" s="4">
        <f t="shared" si="9"/>
        <v>0</v>
      </c>
      <c r="AA15" s="3"/>
      <c r="AB15" s="4"/>
      <c r="AC15" s="4">
        <f t="shared" si="10"/>
        <v>0</v>
      </c>
      <c r="AD15" s="3"/>
      <c r="AE15" s="3"/>
      <c r="AF15" s="4">
        <f t="shared" si="11"/>
        <v>0</v>
      </c>
      <c r="AG15" s="3"/>
      <c r="AH15" s="3"/>
      <c r="AI15" s="4">
        <f t="shared" si="12"/>
        <v>0</v>
      </c>
      <c r="AJ15" s="3"/>
      <c r="AK15" s="3"/>
      <c r="AL15" s="4">
        <f t="shared" si="13"/>
        <v>0</v>
      </c>
      <c r="AM15" s="4">
        <f t="shared" si="0"/>
        <v>0</v>
      </c>
      <c r="AN15" s="4">
        <f t="shared" si="1"/>
        <v>0</v>
      </c>
      <c r="AO15" s="4">
        <f t="shared" si="1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2"/>
        <v>0</v>
      </c>
      <c r="F16" s="4"/>
      <c r="G16" s="4"/>
      <c r="H16" s="4">
        <f t="shared" si="3"/>
        <v>0</v>
      </c>
      <c r="I16" s="4"/>
      <c r="J16" s="4"/>
      <c r="K16" s="4">
        <f t="shared" si="4"/>
        <v>0</v>
      </c>
      <c r="L16" s="4"/>
      <c r="M16" s="4"/>
      <c r="N16" s="4">
        <f t="shared" si="5"/>
        <v>0</v>
      </c>
      <c r="O16" s="4"/>
      <c r="P16" s="3"/>
      <c r="Q16" s="4">
        <f t="shared" si="6"/>
        <v>0</v>
      </c>
      <c r="R16" s="3"/>
      <c r="S16" s="3"/>
      <c r="T16" s="4">
        <f t="shared" si="7"/>
        <v>0</v>
      </c>
      <c r="U16" s="3"/>
      <c r="V16" s="3"/>
      <c r="W16" s="4">
        <f t="shared" si="8"/>
        <v>0</v>
      </c>
      <c r="X16" s="3"/>
      <c r="Y16" s="3"/>
      <c r="Z16" s="4">
        <f t="shared" si="9"/>
        <v>0</v>
      </c>
      <c r="AA16" s="3"/>
      <c r="AB16" s="4"/>
      <c r="AC16" s="4">
        <f t="shared" si="10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0"/>
        <v>0</v>
      </c>
      <c r="AN16" s="4">
        <f t="shared" si="1"/>
        <v>0</v>
      </c>
      <c r="AO16" s="4">
        <f t="shared" si="1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2"/>
        <v>0</v>
      </c>
      <c r="F17" s="4"/>
      <c r="G17" s="4">
        <v>726873.74</v>
      </c>
      <c r="H17" s="4">
        <f t="shared" si="3"/>
        <v>726873.74</v>
      </c>
      <c r="I17" s="4"/>
      <c r="J17" s="4">
        <v>845583.79</v>
      </c>
      <c r="K17" s="4">
        <f t="shared" si="4"/>
        <v>845583.79</v>
      </c>
      <c r="L17" s="4"/>
      <c r="M17" s="4">
        <v>210821.25</v>
      </c>
      <c r="N17" s="4">
        <f t="shared" si="5"/>
        <v>210821.25</v>
      </c>
      <c r="O17" s="4"/>
      <c r="P17" s="3"/>
      <c r="Q17" s="4">
        <f t="shared" si="6"/>
        <v>0</v>
      </c>
      <c r="R17" s="3"/>
      <c r="S17" s="3"/>
      <c r="T17" s="4">
        <f t="shared" si="7"/>
        <v>0</v>
      </c>
      <c r="U17" s="3"/>
      <c r="V17" s="3"/>
      <c r="W17" s="4">
        <f t="shared" si="8"/>
        <v>0</v>
      </c>
      <c r="X17" s="3"/>
      <c r="Y17" s="3"/>
      <c r="Z17" s="4">
        <f t="shared" si="9"/>
        <v>0</v>
      </c>
      <c r="AA17" s="3"/>
      <c r="AB17" s="4"/>
      <c r="AC17" s="4">
        <f t="shared" si="10"/>
        <v>0</v>
      </c>
      <c r="AD17" s="3"/>
      <c r="AE17" s="3"/>
      <c r="AF17" s="4">
        <f t="shared" si="11"/>
        <v>0</v>
      </c>
      <c r="AG17" s="3"/>
      <c r="AH17" s="3"/>
      <c r="AI17" s="4">
        <f t="shared" si="12"/>
        <v>0</v>
      </c>
      <c r="AJ17" s="3"/>
      <c r="AK17" s="3"/>
      <c r="AL17" s="4">
        <f t="shared" si="13"/>
        <v>0</v>
      </c>
      <c r="AM17" s="4">
        <f t="shared" si="0"/>
        <v>0</v>
      </c>
      <c r="AN17" s="4">
        <f t="shared" si="1"/>
        <v>1783278.78</v>
      </c>
      <c r="AO17" s="4">
        <f t="shared" si="1"/>
        <v>1783278.78</v>
      </c>
    </row>
    <row r="18" spans="1:41" ht="20.100000000000001" customHeight="1">
      <c r="A18" s="3">
        <v>2272</v>
      </c>
      <c r="B18" s="3" t="s">
        <v>9</v>
      </c>
      <c r="C18" s="4"/>
      <c r="D18" s="4">
        <v>9596.16</v>
      </c>
      <c r="E18" s="4">
        <f t="shared" si="2"/>
        <v>9596.16</v>
      </c>
      <c r="F18" s="4"/>
      <c r="G18" s="4">
        <v>11712.96</v>
      </c>
      <c r="H18" s="4">
        <f t="shared" si="3"/>
        <v>11712.96</v>
      </c>
      <c r="I18" s="4"/>
      <c r="J18" s="4">
        <v>11289.6</v>
      </c>
      <c r="K18" s="4">
        <f t="shared" si="4"/>
        <v>11289.6</v>
      </c>
      <c r="L18" s="4"/>
      <c r="M18" s="4">
        <v>10513.44</v>
      </c>
      <c r="N18" s="4">
        <f t="shared" si="5"/>
        <v>10513.44</v>
      </c>
      <c r="O18" s="4"/>
      <c r="P18" s="3">
        <v>11995.2</v>
      </c>
      <c r="Q18" s="4">
        <f t="shared" si="6"/>
        <v>11995.2</v>
      </c>
      <c r="R18" s="3"/>
      <c r="S18" s="3">
        <v>7081.56</v>
      </c>
      <c r="T18" s="4">
        <f t="shared" si="7"/>
        <v>7081.56</v>
      </c>
      <c r="U18" s="3"/>
      <c r="V18" s="3">
        <v>3103.48</v>
      </c>
      <c r="W18" s="4">
        <f t="shared" si="8"/>
        <v>3103.48</v>
      </c>
      <c r="X18" s="3"/>
      <c r="Y18" s="3">
        <v>3217.18</v>
      </c>
      <c r="Z18" s="4">
        <f t="shared" si="9"/>
        <v>3217.18</v>
      </c>
      <c r="AA18" s="3"/>
      <c r="AB18" s="3">
        <v>4472.67</v>
      </c>
      <c r="AC18" s="4">
        <f t="shared" si="10"/>
        <v>4472.67</v>
      </c>
      <c r="AD18" s="3"/>
      <c r="AE18" s="3"/>
      <c r="AF18" s="4">
        <f t="shared" si="11"/>
        <v>0</v>
      </c>
      <c r="AG18" s="3"/>
      <c r="AH18" s="3"/>
      <c r="AI18" s="4">
        <f t="shared" si="12"/>
        <v>0</v>
      </c>
      <c r="AJ18" s="3"/>
      <c r="AK18" s="3"/>
      <c r="AL18" s="4">
        <f t="shared" si="13"/>
        <v>0</v>
      </c>
      <c r="AM18" s="4">
        <f t="shared" si="0"/>
        <v>0</v>
      </c>
      <c r="AN18" s="4">
        <f t="shared" si="1"/>
        <v>72982.25</v>
      </c>
      <c r="AO18" s="4">
        <f t="shared" si="1"/>
        <v>72982.25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2"/>
        <v>0</v>
      </c>
      <c r="F19" s="4"/>
      <c r="G19" s="4">
        <v>59517.82</v>
      </c>
      <c r="H19" s="4">
        <f t="shared" si="3"/>
        <v>59517.82</v>
      </c>
      <c r="I19" s="4"/>
      <c r="J19" s="4">
        <v>73205.73</v>
      </c>
      <c r="K19" s="4">
        <f t="shared" si="4"/>
        <v>73205.73</v>
      </c>
      <c r="L19" s="4"/>
      <c r="M19" s="4">
        <v>78866.95</v>
      </c>
      <c r="N19" s="4">
        <f t="shared" si="5"/>
        <v>78866.95</v>
      </c>
      <c r="O19" s="4"/>
      <c r="P19" s="3">
        <v>67085.16</v>
      </c>
      <c r="Q19" s="4">
        <f t="shared" si="6"/>
        <v>67085.16</v>
      </c>
      <c r="R19" s="3"/>
      <c r="S19" s="3">
        <v>45320.72</v>
      </c>
      <c r="T19" s="4">
        <f t="shared" si="7"/>
        <v>45320.72</v>
      </c>
      <c r="U19" s="3"/>
      <c r="V19" s="3">
        <v>10432.26</v>
      </c>
      <c r="W19" s="4">
        <f t="shared" si="8"/>
        <v>10432.26</v>
      </c>
      <c r="X19" s="3"/>
      <c r="Y19" s="3">
        <v>381.29</v>
      </c>
      <c r="Z19" s="4">
        <f t="shared" si="9"/>
        <v>381.29</v>
      </c>
      <c r="AA19" s="3"/>
      <c r="AB19" s="3">
        <v>2727.19</v>
      </c>
      <c r="AC19" s="4">
        <f t="shared" si="10"/>
        <v>2727.19</v>
      </c>
      <c r="AD19" s="3"/>
      <c r="AE19" s="3"/>
      <c r="AF19" s="4">
        <f t="shared" si="11"/>
        <v>0</v>
      </c>
      <c r="AG19" s="3"/>
      <c r="AH19" s="3"/>
      <c r="AI19" s="4">
        <f t="shared" si="12"/>
        <v>0</v>
      </c>
      <c r="AJ19" s="3"/>
      <c r="AK19" s="3"/>
      <c r="AL19" s="4">
        <f t="shared" si="13"/>
        <v>0</v>
      </c>
      <c r="AM19" s="4">
        <f t="shared" si="0"/>
        <v>0</v>
      </c>
      <c r="AN19" s="4">
        <f t="shared" si="1"/>
        <v>337537.12</v>
      </c>
      <c r="AO19" s="4">
        <f t="shared" si="1"/>
        <v>337537.12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2"/>
        <v>0</v>
      </c>
      <c r="F20" s="4"/>
      <c r="G20" s="4"/>
      <c r="H20" s="4">
        <f t="shared" si="3"/>
        <v>0</v>
      </c>
      <c r="I20" s="4"/>
      <c r="J20" s="4"/>
      <c r="K20" s="4">
        <f t="shared" si="4"/>
        <v>0</v>
      </c>
      <c r="L20" s="4"/>
      <c r="M20" s="4"/>
      <c r="N20" s="4">
        <f t="shared" si="5"/>
        <v>0</v>
      </c>
      <c r="O20" s="4"/>
      <c r="P20" s="3"/>
      <c r="Q20" s="4">
        <f t="shared" si="6"/>
        <v>0</v>
      </c>
      <c r="R20" s="3"/>
      <c r="S20" s="3"/>
      <c r="T20" s="4">
        <f t="shared" si="7"/>
        <v>0</v>
      </c>
      <c r="U20" s="3"/>
      <c r="V20" s="3"/>
      <c r="W20" s="4">
        <f t="shared" si="8"/>
        <v>0</v>
      </c>
      <c r="X20" s="3"/>
      <c r="Y20" s="3"/>
      <c r="Z20" s="4">
        <f t="shared" si="9"/>
        <v>0</v>
      </c>
      <c r="AA20" s="3"/>
      <c r="AB20" s="4"/>
      <c r="AC20" s="4">
        <f t="shared" si="10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3"/>
      <c r="AL20" s="4">
        <f t="shared" si="13"/>
        <v>0</v>
      </c>
      <c r="AM20" s="4">
        <f t="shared" si="0"/>
        <v>0</v>
      </c>
      <c r="AN20" s="4">
        <f t="shared" si="1"/>
        <v>0</v>
      </c>
      <c r="AO20" s="4">
        <f t="shared" si="1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14720.01</v>
      </c>
      <c r="E21" s="4">
        <f t="shared" si="2"/>
        <v>14720.01</v>
      </c>
      <c r="F21" s="4"/>
      <c r="G21" s="4">
        <v>9206.07</v>
      </c>
      <c r="H21" s="4">
        <f t="shared" si="3"/>
        <v>9206.07</v>
      </c>
      <c r="I21" s="4"/>
      <c r="J21" s="4">
        <v>517.11</v>
      </c>
      <c r="K21" s="4">
        <f t="shared" si="4"/>
        <v>517.11</v>
      </c>
      <c r="L21" s="4"/>
      <c r="M21" s="4">
        <v>2272.91</v>
      </c>
      <c r="N21" s="4">
        <f t="shared" si="5"/>
        <v>2272.91</v>
      </c>
      <c r="O21" s="4"/>
      <c r="P21" s="3">
        <v>2143.9499999999998</v>
      </c>
      <c r="Q21" s="4">
        <f t="shared" si="6"/>
        <v>2143.9499999999998</v>
      </c>
      <c r="R21" s="3"/>
      <c r="S21" s="3">
        <v>2273.46</v>
      </c>
      <c r="T21" s="4">
        <f t="shared" si="7"/>
        <v>2273.46</v>
      </c>
      <c r="U21" s="3"/>
      <c r="V21" s="3">
        <v>2273.38</v>
      </c>
      <c r="W21" s="4">
        <f t="shared" si="8"/>
        <v>2273.38</v>
      </c>
      <c r="X21" s="3"/>
      <c r="Y21" s="3">
        <v>3316.39</v>
      </c>
      <c r="Z21" s="4">
        <f t="shared" si="9"/>
        <v>3316.39</v>
      </c>
      <c r="AA21" s="3"/>
      <c r="AB21" s="3">
        <v>4158.97</v>
      </c>
      <c r="AC21" s="4">
        <f t="shared" si="10"/>
        <v>4158.97</v>
      </c>
      <c r="AD21" s="3"/>
      <c r="AE21" s="3"/>
      <c r="AF21" s="4">
        <f t="shared" si="11"/>
        <v>0</v>
      </c>
      <c r="AG21" s="3"/>
      <c r="AH21" s="3"/>
      <c r="AI21" s="4">
        <f t="shared" si="12"/>
        <v>0</v>
      </c>
      <c r="AJ21" s="3"/>
      <c r="AK21" s="3"/>
      <c r="AL21" s="4">
        <f t="shared" si="13"/>
        <v>0</v>
      </c>
      <c r="AM21" s="4">
        <f t="shared" si="0"/>
        <v>0</v>
      </c>
      <c r="AN21" s="4">
        <f t="shared" si="1"/>
        <v>40882.25</v>
      </c>
      <c r="AO21" s="4">
        <f t="shared" si="1"/>
        <v>40882.25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2"/>
        <v>0</v>
      </c>
      <c r="F22" s="4"/>
      <c r="G22" s="4"/>
      <c r="H22" s="4">
        <f t="shared" si="3"/>
        <v>0</v>
      </c>
      <c r="I22" s="4"/>
      <c r="J22" s="4"/>
      <c r="K22" s="4">
        <f t="shared" si="4"/>
        <v>0</v>
      </c>
      <c r="L22" s="4"/>
      <c r="M22" s="4"/>
      <c r="N22" s="4">
        <f t="shared" si="5"/>
        <v>0</v>
      </c>
      <c r="O22" s="4"/>
      <c r="P22" s="3"/>
      <c r="Q22" s="4">
        <f t="shared" si="6"/>
        <v>0</v>
      </c>
      <c r="R22" s="3"/>
      <c r="S22" s="3">
        <v>600</v>
      </c>
      <c r="T22" s="4">
        <f t="shared" si="7"/>
        <v>600</v>
      </c>
      <c r="U22" s="3"/>
      <c r="V22" s="3"/>
      <c r="W22" s="4">
        <f t="shared" si="8"/>
        <v>0</v>
      </c>
      <c r="X22" s="3"/>
      <c r="Y22" s="3">
        <v>320</v>
      </c>
      <c r="Z22" s="4">
        <f t="shared" si="9"/>
        <v>320</v>
      </c>
      <c r="AA22" s="3"/>
      <c r="AB22" s="4"/>
      <c r="AC22" s="4">
        <f t="shared" si="10"/>
        <v>0</v>
      </c>
      <c r="AD22" s="3"/>
      <c r="AE22" s="3"/>
      <c r="AF22" s="4">
        <f t="shared" si="11"/>
        <v>0</v>
      </c>
      <c r="AG22" s="3"/>
      <c r="AH22" s="3"/>
      <c r="AI22" s="4">
        <f t="shared" si="12"/>
        <v>0</v>
      </c>
      <c r="AJ22" s="3"/>
      <c r="AK22" s="3"/>
      <c r="AL22" s="4">
        <f t="shared" si="13"/>
        <v>0</v>
      </c>
      <c r="AM22" s="4">
        <f t="shared" si="0"/>
        <v>0</v>
      </c>
      <c r="AN22" s="4">
        <f t="shared" si="1"/>
        <v>920</v>
      </c>
      <c r="AO22" s="4">
        <f t="shared" si="1"/>
        <v>920</v>
      </c>
    </row>
    <row r="23" spans="1:41" ht="27" customHeight="1">
      <c r="A23" s="6">
        <v>2700</v>
      </c>
      <c r="B23" s="6" t="s">
        <v>14</v>
      </c>
      <c r="C23" s="4"/>
      <c r="D23" s="4"/>
      <c r="E23" s="4">
        <f t="shared" si="2"/>
        <v>0</v>
      </c>
      <c r="F23" s="4"/>
      <c r="G23" s="4"/>
      <c r="H23" s="4">
        <f t="shared" si="3"/>
        <v>0</v>
      </c>
      <c r="I23" s="4"/>
      <c r="J23" s="4"/>
      <c r="K23" s="4">
        <f t="shared" si="4"/>
        <v>0</v>
      </c>
      <c r="L23" s="4"/>
      <c r="M23" s="4"/>
      <c r="N23" s="4">
        <f t="shared" si="5"/>
        <v>0</v>
      </c>
      <c r="O23" s="4"/>
      <c r="P23" s="3"/>
      <c r="Q23" s="4">
        <f t="shared" si="6"/>
        <v>0</v>
      </c>
      <c r="R23" s="3"/>
      <c r="S23" s="3"/>
      <c r="T23" s="4">
        <f t="shared" si="7"/>
        <v>0</v>
      </c>
      <c r="U23" s="3"/>
      <c r="V23" s="3"/>
      <c r="W23" s="4">
        <f t="shared" si="8"/>
        <v>0</v>
      </c>
      <c r="X23" s="4"/>
      <c r="Y23" s="4"/>
      <c r="Z23" s="4">
        <f t="shared" si="9"/>
        <v>0</v>
      </c>
      <c r="AA23" s="4"/>
      <c r="AB23" s="4"/>
      <c r="AC23" s="4">
        <f t="shared" si="10"/>
        <v>0</v>
      </c>
      <c r="AD23" s="4"/>
      <c r="AE23" s="4"/>
      <c r="AF23" s="4">
        <f t="shared" si="11"/>
        <v>0</v>
      </c>
      <c r="AG23" s="4"/>
      <c r="AH23" s="4"/>
      <c r="AI23" s="4">
        <f t="shared" si="12"/>
        <v>0</v>
      </c>
      <c r="AJ23" s="4"/>
      <c r="AK23" s="4"/>
      <c r="AL23" s="4">
        <f t="shared" si="13"/>
        <v>0</v>
      </c>
      <c r="AM23" s="4">
        <f t="shared" ref="AM23" si="14">AL23+AK23</f>
        <v>0</v>
      </c>
      <c r="AN23" s="4">
        <f t="shared" ref="AN23" si="15">AM23+AL23</f>
        <v>0</v>
      </c>
      <c r="AO23" s="4">
        <f t="shared" ref="AO23" si="16">AN23+AM23</f>
        <v>0</v>
      </c>
    </row>
    <row r="24" spans="1:41" ht="23.25" customHeight="1">
      <c r="A24" s="3">
        <v>2800</v>
      </c>
      <c r="B24" s="3" t="s">
        <v>44</v>
      </c>
      <c r="C24" s="4"/>
      <c r="D24" s="4"/>
      <c r="E24" s="4">
        <f t="shared" si="2"/>
        <v>0</v>
      </c>
      <c r="F24" s="4"/>
      <c r="G24" s="4"/>
      <c r="H24" s="4">
        <f t="shared" si="3"/>
        <v>0</v>
      </c>
      <c r="I24" s="4"/>
      <c r="J24" s="4"/>
      <c r="K24" s="4">
        <f t="shared" si="4"/>
        <v>0</v>
      </c>
      <c r="L24" s="4"/>
      <c r="M24" s="4"/>
      <c r="N24" s="4">
        <f t="shared" si="5"/>
        <v>0</v>
      </c>
      <c r="O24" s="4"/>
      <c r="P24" s="4">
        <v>9735.2000000000007</v>
      </c>
      <c r="Q24" s="4">
        <f t="shared" si="6"/>
        <v>9735.2000000000007</v>
      </c>
      <c r="R24" s="4"/>
      <c r="S24" s="4"/>
      <c r="T24" s="4">
        <f t="shared" si="7"/>
        <v>0</v>
      </c>
      <c r="U24" s="4"/>
      <c r="V24" s="4">
        <v>12723.72</v>
      </c>
      <c r="W24" s="4">
        <f t="shared" si="8"/>
        <v>12723.72</v>
      </c>
      <c r="X24" s="4"/>
      <c r="Y24" s="4"/>
      <c r="Z24" s="4">
        <f t="shared" si="9"/>
        <v>0</v>
      </c>
      <c r="AA24" s="4"/>
      <c r="AB24" s="4"/>
      <c r="AC24" s="4">
        <f t="shared" si="10"/>
        <v>0</v>
      </c>
      <c r="AD24" s="4"/>
      <c r="AE24" s="4"/>
      <c r="AF24" s="4">
        <f t="shared" si="11"/>
        <v>0</v>
      </c>
      <c r="AG24" s="4"/>
      <c r="AH24" s="4"/>
      <c r="AI24" s="4">
        <f t="shared" si="12"/>
        <v>0</v>
      </c>
      <c r="AJ24" s="4"/>
      <c r="AK24" s="4"/>
      <c r="AL24" s="4">
        <f t="shared" si="13"/>
        <v>0</v>
      </c>
      <c r="AM24" s="4">
        <f t="shared" ref="AM24" si="17">AL24+AK24</f>
        <v>0</v>
      </c>
      <c r="AN24" s="4">
        <f t="shared" si="1"/>
        <v>22458.92</v>
      </c>
      <c r="AO24" s="4">
        <f t="shared" si="1"/>
        <v>22458.92</v>
      </c>
    </row>
    <row r="25" spans="1:41" ht="30" customHeight="1">
      <c r="A25" s="3">
        <v>3110</v>
      </c>
      <c r="B25" s="5" t="s">
        <v>15</v>
      </c>
      <c r="C25" s="4"/>
      <c r="D25" s="4"/>
      <c r="E25" s="4">
        <f t="shared" si="2"/>
        <v>0</v>
      </c>
      <c r="F25" s="4"/>
      <c r="G25" s="4"/>
      <c r="H25" s="4">
        <f t="shared" si="3"/>
        <v>0</v>
      </c>
      <c r="I25" s="4"/>
      <c r="J25" s="4"/>
      <c r="K25" s="4">
        <f t="shared" si="4"/>
        <v>0</v>
      </c>
      <c r="L25" s="4"/>
      <c r="M25" s="4"/>
      <c r="N25" s="4">
        <f t="shared" si="5"/>
        <v>0</v>
      </c>
      <c r="O25" s="4"/>
      <c r="P25" s="3"/>
      <c r="Q25" s="4">
        <f t="shared" si="6"/>
        <v>0</v>
      </c>
      <c r="R25" s="3"/>
      <c r="S25" s="3"/>
      <c r="T25" s="4">
        <f t="shared" si="7"/>
        <v>0</v>
      </c>
      <c r="U25" s="3"/>
      <c r="V25" s="3"/>
      <c r="W25" s="4">
        <f t="shared" si="8"/>
        <v>0</v>
      </c>
      <c r="X25" s="3"/>
      <c r="Y25" s="3"/>
      <c r="Z25" s="4">
        <f t="shared" si="9"/>
        <v>0</v>
      </c>
      <c r="AA25" s="3"/>
      <c r="AB25" s="4"/>
      <c r="AC25" s="4">
        <f t="shared" si="10"/>
        <v>0</v>
      </c>
      <c r="AD25" s="3"/>
      <c r="AE25" s="3"/>
      <c r="AF25" s="4">
        <f t="shared" si="11"/>
        <v>0</v>
      </c>
      <c r="AG25" s="3"/>
      <c r="AH25" s="3"/>
      <c r="AI25" s="4">
        <f t="shared" si="12"/>
        <v>0</v>
      </c>
      <c r="AJ25" s="3"/>
      <c r="AK25" s="3"/>
      <c r="AL25" s="4">
        <f t="shared" si="13"/>
        <v>0</v>
      </c>
      <c r="AM25" s="4">
        <f t="shared" si="0"/>
        <v>0</v>
      </c>
      <c r="AN25" s="4">
        <f t="shared" si="1"/>
        <v>0</v>
      </c>
      <c r="AO25" s="4">
        <f t="shared" si="1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2"/>
        <v>0</v>
      </c>
      <c r="F26" s="4"/>
      <c r="G26" s="4"/>
      <c r="H26" s="4">
        <f t="shared" si="3"/>
        <v>0</v>
      </c>
      <c r="I26" s="4"/>
      <c r="J26" s="4"/>
      <c r="K26" s="4">
        <f t="shared" si="4"/>
        <v>0</v>
      </c>
      <c r="L26" s="4"/>
      <c r="M26" s="4"/>
      <c r="N26" s="4">
        <f t="shared" si="5"/>
        <v>0</v>
      </c>
      <c r="O26" s="4"/>
      <c r="P26" s="4"/>
      <c r="Q26" s="4">
        <f t="shared" si="6"/>
        <v>0</v>
      </c>
      <c r="R26" s="4"/>
      <c r="S26" s="4"/>
      <c r="T26" s="4">
        <f t="shared" si="7"/>
        <v>0</v>
      </c>
      <c r="U26" s="4"/>
      <c r="V26" s="4"/>
      <c r="W26" s="4">
        <f t="shared" si="8"/>
        <v>0</v>
      </c>
      <c r="X26" s="4"/>
      <c r="Y26" s="4"/>
      <c r="Z26" s="4">
        <f t="shared" si="9"/>
        <v>0</v>
      </c>
      <c r="AA26" s="4"/>
      <c r="AB26" s="4"/>
      <c r="AC26" s="4">
        <f t="shared" si="10"/>
        <v>0</v>
      </c>
      <c r="AD26" s="4"/>
      <c r="AE26" s="4"/>
      <c r="AF26" s="4">
        <f t="shared" si="11"/>
        <v>0</v>
      </c>
      <c r="AG26" s="4"/>
      <c r="AH26" s="4"/>
      <c r="AI26" s="4">
        <f t="shared" si="12"/>
        <v>0</v>
      </c>
      <c r="AJ26" s="4"/>
      <c r="AK26" s="4"/>
      <c r="AL26" s="4">
        <f t="shared" si="13"/>
        <v>0</v>
      </c>
      <c r="AM26" s="4">
        <f t="shared" ref="AM26" si="18">AL26+AK26</f>
        <v>0</v>
      </c>
      <c r="AN26" s="4">
        <f t="shared" ref="AN26" si="19">AM26+AL26</f>
        <v>0</v>
      </c>
      <c r="AO26" s="4">
        <f t="shared" ref="AO26" si="20">AN26+AM26</f>
        <v>0</v>
      </c>
    </row>
    <row r="27" spans="1:41" ht="27.75" customHeight="1">
      <c r="A27" s="6"/>
      <c r="B27" s="5"/>
      <c r="C27" s="4"/>
      <c r="D27" s="4"/>
      <c r="E27" s="4">
        <f t="shared" si="2"/>
        <v>0</v>
      </c>
      <c r="F27" s="4"/>
      <c r="G27" s="4"/>
      <c r="H27" s="4">
        <f t="shared" si="3"/>
        <v>0</v>
      </c>
      <c r="I27" s="4"/>
      <c r="J27" s="4"/>
      <c r="K27" s="4">
        <f t="shared" si="4"/>
        <v>0</v>
      </c>
      <c r="L27" s="4"/>
      <c r="M27" s="4"/>
      <c r="N27" s="4">
        <f t="shared" si="5"/>
        <v>0</v>
      </c>
      <c r="O27" s="4"/>
      <c r="P27" s="3"/>
      <c r="Q27" s="4">
        <f t="shared" si="6"/>
        <v>0</v>
      </c>
      <c r="R27" s="3"/>
      <c r="S27" s="3"/>
      <c r="T27" s="4">
        <f t="shared" si="7"/>
        <v>0</v>
      </c>
      <c r="U27" s="3"/>
      <c r="V27" s="3"/>
      <c r="W27" s="4">
        <f t="shared" si="8"/>
        <v>0</v>
      </c>
      <c r="X27" s="3"/>
      <c r="Y27" s="3"/>
      <c r="Z27" s="4">
        <f t="shared" si="9"/>
        <v>0</v>
      </c>
      <c r="AA27" s="3"/>
      <c r="AB27" s="4"/>
      <c r="AC27" s="4">
        <f t="shared" si="10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0"/>
        <v>0</v>
      </c>
      <c r="AN27" s="4">
        <f t="shared" si="1"/>
        <v>0</v>
      </c>
      <c r="AO27" s="4">
        <f t="shared" si="1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2"/>
        <v>0</v>
      </c>
      <c r="F28" s="4"/>
      <c r="G28" s="4"/>
      <c r="H28" s="4">
        <f t="shared" si="3"/>
        <v>0</v>
      </c>
      <c r="I28" s="4"/>
      <c r="J28" s="4"/>
      <c r="K28" s="4">
        <f t="shared" si="4"/>
        <v>0</v>
      </c>
      <c r="L28" s="4"/>
      <c r="M28" s="4"/>
      <c r="N28" s="4">
        <f t="shared" si="5"/>
        <v>0</v>
      </c>
      <c r="O28" s="4"/>
      <c r="P28" s="3"/>
      <c r="Q28" s="4">
        <f t="shared" si="6"/>
        <v>0</v>
      </c>
      <c r="R28" s="3"/>
      <c r="S28" s="3"/>
      <c r="T28" s="4">
        <f t="shared" si="7"/>
        <v>0</v>
      </c>
      <c r="U28" s="3"/>
      <c r="V28" s="3"/>
      <c r="W28" s="4">
        <f t="shared" si="8"/>
        <v>0</v>
      </c>
      <c r="X28" s="3"/>
      <c r="Y28" s="3"/>
      <c r="Z28" s="4">
        <f t="shared" si="9"/>
        <v>0</v>
      </c>
      <c r="AA28" s="3"/>
      <c r="AB28" s="4"/>
      <c r="AC28" s="4">
        <f t="shared" si="10"/>
        <v>0</v>
      </c>
      <c r="AD28" s="3"/>
      <c r="AE28" s="3"/>
      <c r="AF28" s="4">
        <f t="shared" si="11"/>
        <v>0</v>
      </c>
      <c r="AG28" s="3"/>
      <c r="AH28" s="3"/>
      <c r="AI28" s="4">
        <f t="shared" si="12"/>
        <v>0</v>
      </c>
      <c r="AJ28" s="3"/>
      <c r="AK28" s="3"/>
      <c r="AL28" s="4">
        <f t="shared" si="13"/>
        <v>0</v>
      </c>
      <c r="AM28" s="4">
        <f t="shared" si="0"/>
        <v>0</v>
      </c>
      <c r="AN28" s="4">
        <f>AK28+AH28+AE28+AB28+Y28+V28+S28+P28+M28+J28+G28+D28</f>
        <v>0</v>
      </c>
      <c r="AO28" s="4">
        <f>AL28+AI28+AF28+AC28+Z28+W28+T28+Q28+N28+K28+H28+E28</f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2"/>
        <v>0</v>
      </c>
      <c r="F29" s="4"/>
      <c r="G29" s="4">
        <v>1435</v>
      </c>
      <c r="H29" s="4">
        <f t="shared" si="3"/>
        <v>1435</v>
      </c>
      <c r="I29" s="4"/>
      <c r="J29" s="4">
        <v>1435</v>
      </c>
      <c r="K29" s="4">
        <f t="shared" si="4"/>
        <v>1435</v>
      </c>
      <c r="L29" s="4"/>
      <c r="M29" s="4">
        <v>2360</v>
      </c>
      <c r="N29" s="4">
        <f t="shared" si="5"/>
        <v>2360</v>
      </c>
      <c r="O29" s="4"/>
      <c r="P29" s="3">
        <v>1435</v>
      </c>
      <c r="Q29" s="4">
        <f t="shared" si="6"/>
        <v>1435</v>
      </c>
      <c r="R29" s="3"/>
      <c r="S29" s="3">
        <v>1435</v>
      </c>
      <c r="T29" s="4">
        <f t="shared" si="7"/>
        <v>1435</v>
      </c>
      <c r="U29" s="3"/>
      <c r="V29" s="3">
        <v>2360</v>
      </c>
      <c r="W29" s="4">
        <f t="shared" si="8"/>
        <v>2360</v>
      </c>
      <c r="X29" s="3"/>
      <c r="Y29" s="3">
        <v>1435</v>
      </c>
      <c r="Z29" s="4">
        <f t="shared" si="9"/>
        <v>1435</v>
      </c>
      <c r="AA29" s="3"/>
      <c r="AB29" s="4">
        <v>1435</v>
      </c>
      <c r="AC29" s="4">
        <f t="shared" si="10"/>
        <v>1435</v>
      </c>
      <c r="AD29" s="3"/>
      <c r="AE29" s="3"/>
      <c r="AF29" s="4">
        <f t="shared" si="11"/>
        <v>0</v>
      </c>
      <c r="AG29" s="3"/>
      <c r="AH29" s="3"/>
      <c r="AI29" s="4">
        <f t="shared" si="12"/>
        <v>0</v>
      </c>
      <c r="AJ29" s="3"/>
      <c r="AK29" s="3"/>
      <c r="AL29" s="4">
        <f t="shared" si="13"/>
        <v>0</v>
      </c>
      <c r="AM29" s="4">
        <f t="shared" si="0"/>
        <v>0</v>
      </c>
      <c r="AN29" s="4">
        <f>AK29+AH29+AE29+AB29+Y29+V29+S29+P29+M29+J29+G29+D29</f>
        <v>13330</v>
      </c>
      <c r="AO29" s="4">
        <f>AL29+AI29+AF29+AC29+Z29+W29+T29+Q29+N29+K29+H29+E29</f>
        <v>13330</v>
      </c>
    </row>
    <row r="30" spans="1:41" ht="33.75" customHeight="1">
      <c r="A30" s="7"/>
      <c r="B30" s="7" t="s">
        <v>30</v>
      </c>
      <c r="C30" s="8">
        <f t="shared" ref="C30:J30" si="21">SUM(C9:C29)</f>
        <v>0</v>
      </c>
      <c r="D30" s="8">
        <f t="shared" si="21"/>
        <v>316598.95</v>
      </c>
      <c r="E30" s="8">
        <f t="shared" si="21"/>
        <v>316598.95</v>
      </c>
      <c r="F30" s="8">
        <f t="shared" si="21"/>
        <v>0</v>
      </c>
      <c r="G30" s="8">
        <f t="shared" si="21"/>
        <v>1116575.4400000002</v>
      </c>
      <c r="H30" s="8">
        <f t="shared" si="21"/>
        <v>1116575.4400000002</v>
      </c>
      <c r="I30" s="8">
        <f t="shared" si="21"/>
        <v>0</v>
      </c>
      <c r="J30" s="8">
        <f t="shared" si="21"/>
        <v>1255050.7800000003</v>
      </c>
      <c r="K30" s="8">
        <f t="shared" si="4"/>
        <v>1255050.7800000003</v>
      </c>
      <c r="L30" s="8">
        <f>SUM(L9:L29)</f>
        <v>0</v>
      </c>
      <c r="M30" s="8">
        <f>SUM(M9:M29)</f>
        <v>658892.61</v>
      </c>
      <c r="N30" s="8">
        <f t="shared" si="5"/>
        <v>658892.61</v>
      </c>
      <c r="O30" s="8">
        <f>SUM(O9:O29)</f>
        <v>0</v>
      </c>
      <c r="P30" s="8">
        <f>SUM(P9:P29)</f>
        <v>415439.81000000006</v>
      </c>
      <c r="Q30" s="8">
        <f t="shared" si="6"/>
        <v>415439.81000000006</v>
      </c>
      <c r="R30" s="8">
        <f>SUM(R9:R29)</f>
        <v>0</v>
      </c>
      <c r="S30" s="8">
        <f>SUM(S9:S29)</f>
        <v>437677.96</v>
      </c>
      <c r="T30" s="8">
        <f>S30+R30</f>
        <v>437677.96</v>
      </c>
      <c r="U30" s="8">
        <f>SUM(U9:U29)</f>
        <v>0</v>
      </c>
      <c r="V30" s="8">
        <f>SUM(V9:V29)</f>
        <v>639140.13</v>
      </c>
      <c r="W30" s="8">
        <f>V30+U30</f>
        <v>639140.13</v>
      </c>
      <c r="X30" s="8">
        <f>SUM(X9:X29)</f>
        <v>0</v>
      </c>
      <c r="Y30" s="8">
        <f>SUM(Y9:Y29)</f>
        <v>357138.92</v>
      </c>
      <c r="Z30" s="8">
        <f>Y30+X30</f>
        <v>357138.92</v>
      </c>
      <c r="AA30" s="8">
        <f>SUM(AA9:AA29)</f>
        <v>0</v>
      </c>
      <c r="AB30" s="8">
        <f>SUM(AB9:AB29)</f>
        <v>432057.04000000004</v>
      </c>
      <c r="AC30" s="8">
        <f>AB30+AA30</f>
        <v>432057.04000000004</v>
      </c>
      <c r="AD30" s="8">
        <f>SUM(AD9:AD29)</f>
        <v>0</v>
      </c>
      <c r="AE30" s="8">
        <f>SUM(AE9:AE29)</f>
        <v>0</v>
      </c>
      <c r="AF30" s="8">
        <f>AE30+AD30</f>
        <v>0</v>
      </c>
      <c r="AG30" s="8">
        <f>SUM(AG9:AG29)</f>
        <v>0</v>
      </c>
      <c r="AH30" s="8">
        <f>SUM(AH9:AH29)</f>
        <v>0</v>
      </c>
      <c r="AI30" s="8">
        <f>AH30+AG30</f>
        <v>0</v>
      </c>
      <c r="AJ30" s="8">
        <f>SUM(AJ9:AJ29)</f>
        <v>0</v>
      </c>
      <c r="AK30" s="8">
        <f>SUM(AK9:AK29)</f>
        <v>0</v>
      </c>
      <c r="AL30" s="8">
        <f>AK30+AJ30</f>
        <v>0</v>
      </c>
      <c r="AM30" s="8">
        <f>SUM(AM9:AM29)</f>
        <v>0</v>
      </c>
      <c r="AN30" s="8">
        <f>SUM(AN9:AN29)</f>
        <v>5628571.6399999997</v>
      </c>
      <c r="AO30" s="8">
        <f t="shared" ref="AO30" si="22">SUM(AO9:AO28)</f>
        <v>5615241.6399999997</v>
      </c>
    </row>
    <row r="31" spans="1:41">
      <c r="N31" s="14"/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6">
    <mergeCell ref="A7:B7"/>
    <mergeCell ref="A5:O5"/>
    <mergeCell ref="A6:O6"/>
    <mergeCell ref="C7:E7"/>
    <mergeCell ref="F7:H7"/>
    <mergeCell ref="I7:K7"/>
    <mergeCell ref="L7:N7"/>
    <mergeCell ref="O7:Q7"/>
    <mergeCell ref="AG7:AI7"/>
    <mergeCell ref="AJ7:AL7"/>
    <mergeCell ref="AM7:AO7"/>
    <mergeCell ref="R7:T7"/>
    <mergeCell ref="U7:W7"/>
    <mergeCell ref="X7:Z7"/>
    <mergeCell ref="AA7:AC7"/>
    <mergeCell ref="AD7:AF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1" ySplit="8" topLeftCell="L9" activePane="bottomRight" state="frozen"/>
      <selection pane="topRight" activeCell="B1" sqref="B1"/>
      <selection pane="bottomLeft" activeCell="A9" sqref="A9"/>
      <selection pane="bottomRight" activeCell="AB20" sqref="AB20"/>
    </sheetView>
  </sheetViews>
  <sheetFormatPr defaultRowHeight="14.4"/>
  <cols>
    <col min="1" max="1" width="5.88671875" customWidth="1"/>
    <col min="2" max="2" width="42" customWidth="1"/>
    <col min="3" max="3" width="11.88671875" customWidth="1"/>
    <col min="4" max="4" width="11.109375" customWidth="1"/>
    <col min="5" max="5" width="11.5546875" customWidth="1"/>
    <col min="6" max="6" width="11.6640625" customWidth="1"/>
    <col min="7" max="7" width="11" customWidth="1"/>
    <col min="8" max="8" width="10.88671875" customWidth="1"/>
    <col min="9" max="9" width="11.109375" customWidth="1"/>
    <col min="10" max="10" width="10.5546875" customWidth="1"/>
    <col min="11" max="11" width="10.44140625" customWidth="1"/>
    <col min="12" max="12" width="12.44140625" customWidth="1"/>
    <col min="13" max="13" width="10.6640625" customWidth="1"/>
    <col min="14" max="14" width="10.44140625" customWidth="1"/>
    <col min="15" max="15" width="11" customWidth="1"/>
    <col min="16" max="17" width="10.5546875" customWidth="1"/>
    <col min="18" max="18" width="11.44140625" customWidth="1"/>
    <col min="19" max="19" width="10.6640625" customWidth="1"/>
    <col min="20" max="20" width="11.88671875" customWidth="1"/>
    <col min="21" max="21" width="11" customWidth="1"/>
    <col min="22" max="23" width="11.33203125" customWidth="1"/>
    <col min="24" max="24" width="11.44140625" customWidth="1"/>
    <col min="25" max="25" width="11" customWidth="1"/>
    <col min="26" max="26" width="11.33203125" customWidth="1"/>
    <col min="27" max="27" width="11.44140625" customWidth="1"/>
    <col min="28" max="28" width="11.5546875" customWidth="1"/>
    <col min="29" max="29" width="10.88671875" customWidth="1"/>
    <col min="30" max="30" width="11.44140625" customWidth="1"/>
    <col min="31" max="31" width="10.44140625" customWidth="1"/>
    <col min="32" max="32" width="12" customWidth="1"/>
    <col min="33" max="33" width="11.33203125" customWidth="1"/>
    <col min="34" max="35" width="10.5546875" customWidth="1"/>
    <col min="36" max="36" width="11.88671875" customWidth="1"/>
    <col min="37" max="37" width="10.5546875" customWidth="1"/>
    <col min="38" max="38" width="11.109375" customWidth="1"/>
    <col min="39" max="39" width="12.88671875" customWidth="1"/>
    <col min="40" max="40" width="12" customWidth="1"/>
    <col min="41" max="41" width="11.88671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1.25" customHeight="1">
      <c r="L4" s="1"/>
      <c r="M4" s="1"/>
      <c r="N4" s="1"/>
      <c r="O4" s="1"/>
      <c r="R4" s="1" t="s">
        <v>33</v>
      </c>
      <c r="S4" s="1"/>
      <c r="T4" s="1"/>
    </row>
    <row r="5" spans="1:41" ht="19.5" customHeight="1">
      <c r="A5" s="54" t="s">
        <v>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4" t="s">
        <v>67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144389.32999999999</v>
      </c>
      <c r="E9" s="4">
        <f>D9+C9</f>
        <v>144389.32999999999</v>
      </c>
      <c r="F9" s="4"/>
      <c r="G9" s="4">
        <v>139650.28</v>
      </c>
      <c r="H9" s="4">
        <f>G9+F9</f>
        <v>139650.28</v>
      </c>
      <c r="I9" s="4"/>
      <c r="J9" s="4">
        <v>150182.5</v>
      </c>
      <c r="K9" s="4">
        <f>J9+I9</f>
        <v>150182.5</v>
      </c>
      <c r="L9" s="4"/>
      <c r="M9" s="4">
        <v>150188.68</v>
      </c>
      <c r="N9" s="4">
        <f>M9+L9</f>
        <v>150188.68</v>
      </c>
      <c r="O9" s="4"/>
      <c r="P9" s="3">
        <v>144820.57</v>
      </c>
      <c r="Q9" s="4">
        <f>P9+O9</f>
        <v>144820.57</v>
      </c>
      <c r="R9" s="3"/>
      <c r="S9" s="3">
        <v>150146.01</v>
      </c>
      <c r="T9" s="4">
        <f>S9+R9</f>
        <v>150146.01</v>
      </c>
      <c r="U9" s="3"/>
      <c r="V9" s="3">
        <v>169139.07</v>
      </c>
      <c r="W9" s="4">
        <f>V9+U9</f>
        <v>169139.07</v>
      </c>
      <c r="X9" s="3"/>
      <c r="Y9" s="3">
        <v>135975.35</v>
      </c>
      <c r="Z9" s="4">
        <f>Y9+X9</f>
        <v>135975.35</v>
      </c>
      <c r="AA9" s="3"/>
      <c r="AB9" s="3">
        <v>176820.66</v>
      </c>
      <c r="AC9" s="4">
        <f>AB9+AA9</f>
        <v>176820.66</v>
      </c>
      <c r="AD9" s="3"/>
      <c r="AE9" s="3"/>
      <c r="AF9" s="4">
        <f>AD9+AE9</f>
        <v>0</v>
      </c>
      <c r="AG9" s="3"/>
      <c r="AH9" s="3"/>
      <c r="AI9" s="4">
        <f>AH9+AG9</f>
        <v>0</v>
      </c>
      <c r="AJ9" s="3"/>
      <c r="AK9" s="3"/>
      <c r="AL9" s="4">
        <f>AJ9+AK9</f>
        <v>0</v>
      </c>
      <c r="AM9" s="4">
        <f t="shared" ref="AM9:AM29" si="0">AJ9+AG9+AD9+AA9+X9+U9+R9+O9+L9+I9+F9+C9</f>
        <v>0</v>
      </c>
      <c r="AN9" s="4">
        <f t="shared" ref="AN9:AO27" si="1">AK9+AH9+AE9+AB9+Y9+V9+S9+P9+M9+J9+G9+D9</f>
        <v>1361312.4500000002</v>
      </c>
      <c r="AO9" s="4">
        <f t="shared" si="1"/>
        <v>1361312.4500000002</v>
      </c>
    </row>
    <row r="10" spans="1:41" ht="20.100000000000001" customHeight="1">
      <c r="A10" s="3">
        <v>2120</v>
      </c>
      <c r="B10" s="3" t="s">
        <v>1</v>
      </c>
      <c r="C10" s="4"/>
      <c r="D10" s="4">
        <v>29109.18</v>
      </c>
      <c r="E10" s="4">
        <f t="shared" ref="E10:E29" si="2">D10+C10</f>
        <v>29109.18</v>
      </c>
      <c r="F10" s="4"/>
      <c r="G10" s="4">
        <v>28390.959999999999</v>
      </c>
      <c r="H10" s="4">
        <f t="shared" ref="H10:H29" si="3">G10+F10</f>
        <v>28390.959999999999</v>
      </c>
      <c r="I10" s="4"/>
      <c r="J10" s="4">
        <v>29905.26</v>
      </c>
      <c r="K10" s="4">
        <f t="shared" ref="K10:K29" si="4">J10+I10</f>
        <v>29905.26</v>
      </c>
      <c r="L10" s="4"/>
      <c r="M10" s="4">
        <v>30000.89</v>
      </c>
      <c r="N10" s="4">
        <f t="shared" ref="N10:N29" si="5">M10+L10</f>
        <v>30000.89</v>
      </c>
      <c r="O10" s="4"/>
      <c r="P10" s="3">
        <v>29168.97</v>
      </c>
      <c r="Q10" s="4">
        <f t="shared" ref="Q10:Q28" si="6">P10+O10</f>
        <v>29168.97</v>
      </c>
      <c r="R10" s="3"/>
      <c r="S10" s="3">
        <v>30828.07</v>
      </c>
      <c r="T10" s="4">
        <f t="shared" ref="T10:T30" si="7">S10+R10</f>
        <v>30828.07</v>
      </c>
      <c r="U10" s="3"/>
      <c r="V10" s="3">
        <v>35163.15</v>
      </c>
      <c r="W10" s="4">
        <f t="shared" ref="W10:W30" si="8">V10+U10</f>
        <v>35163.15</v>
      </c>
      <c r="X10" s="3"/>
      <c r="Y10" s="3">
        <v>27074.080000000002</v>
      </c>
      <c r="Z10" s="4">
        <f t="shared" ref="Z10:Z30" si="9">Y10+X10</f>
        <v>27074.080000000002</v>
      </c>
      <c r="AA10" s="3"/>
      <c r="AB10" s="3">
        <v>36410.75</v>
      </c>
      <c r="AC10" s="4">
        <f t="shared" ref="AC10:AC29" si="10">AB10+AA10</f>
        <v>36410.75</v>
      </c>
      <c r="AD10" s="3"/>
      <c r="AE10" s="3"/>
      <c r="AF10" s="4">
        <f t="shared" ref="AF10:AF29" si="11">AD10+AE10</f>
        <v>0</v>
      </c>
      <c r="AG10" s="4"/>
      <c r="AH10" s="3"/>
      <c r="AI10" s="4">
        <f t="shared" ref="AI10:AI29" si="12">AH10+AG10</f>
        <v>0</v>
      </c>
      <c r="AJ10" s="3"/>
      <c r="AK10" s="3"/>
      <c r="AL10" s="4">
        <f t="shared" ref="AL10:AL30" si="13">AJ10+AK10</f>
        <v>0</v>
      </c>
      <c r="AM10" s="4">
        <f t="shared" si="0"/>
        <v>0</v>
      </c>
      <c r="AN10" s="4">
        <f t="shared" si="1"/>
        <v>276051.31000000006</v>
      </c>
      <c r="AO10" s="4">
        <f t="shared" si="1"/>
        <v>276051.31000000006</v>
      </c>
    </row>
    <row r="11" spans="1:41" ht="20.100000000000001" customHeight="1">
      <c r="A11" s="3">
        <v>2210</v>
      </c>
      <c r="B11" s="3" t="s">
        <v>2</v>
      </c>
      <c r="C11" s="4"/>
      <c r="D11" s="4">
        <v>2158</v>
      </c>
      <c r="E11" s="4">
        <f t="shared" si="2"/>
        <v>2158</v>
      </c>
      <c r="F11" s="4"/>
      <c r="G11" s="4">
        <v>1687.43</v>
      </c>
      <c r="H11" s="4">
        <f t="shared" si="3"/>
        <v>1687.43</v>
      </c>
      <c r="I11" s="4"/>
      <c r="J11" s="4">
        <v>1148.1400000000001</v>
      </c>
      <c r="K11" s="4">
        <f t="shared" si="4"/>
        <v>1148.1400000000001</v>
      </c>
      <c r="L11" s="4"/>
      <c r="M11" s="4">
        <v>1392.8</v>
      </c>
      <c r="N11" s="4">
        <f t="shared" si="5"/>
        <v>1392.8</v>
      </c>
      <c r="O11" s="8"/>
      <c r="P11" s="3">
        <v>2604.7399999999998</v>
      </c>
      <c r="Q11" s="4">
        <f t="shared" si="6"/>
        <v>2604.7399999999998</v>
      </c>
      <c r="R11" s="3"/>
      <c r="S11" s="3">
        <v>877.8</v>
      </c>
      <c r="T11" s="4">
        <f t="shared" si="7"/>
        <v>877.8</v>
      </c>
      <c r="U11" s="3"/>
      <c r="V11" s="3"/>
      <c r="W11" s="4">
        <f t="shared" si="8"/>
        <v>0</v>
      </c>
      <c r="X11" s="3"/>
      <c r="Y11" s="3"/>
      <c r="Z11" s="4">
        <f t="shared" si="9"/>
        <v>0</v>
      </c>
      <c r="AA11" s="3"/>
      <c r="AB11" s="4">
        <v>4254.2299999999996</v>
      </c>
      <c r="AC11" s="4">
        <f t="shared" si="10"/>
        <v>4254.2299999999996</v>
      </c>
      <c r="AD11" s="3"/>
      <c r="AE11" s="4"/>
      <c r="AF11" s="4">
        <f t="shared" si="11"/>
        <v>0</v>
      </c>
      <c r="AG11" s="3"/>
      <c r="AH11" s="3"/>
      <c r="AI11" s="4">
        <f t="shared" si="12"/>
        <v>0</v>
      </c>
      <c r="AJ11" s="3"/>
      <c r="AK11" s="3"/>
      <c r="AL11" s="4">
        <f t="shared" si="13"/>
        <v>0</v>
      </c>
      <c r="AM11" s="4">
        <f t="shared" si="0"/>
        <v>0</v>
      </c>
      <c r="AN11" s="4">
        <f t="shared" si="1"/>
        <v>14123.14</v>
      </c>
      <c r="AO11" s="4">
        <f t="shared" si="1"/>
        <v>14123.14</v>
      </c>
    </row>
    <row r="12" spans="1:41" ht="20.100000000000001" customHeight="1">
      <c r="A12" s="3">
        <v>2220</v>
      </c>
      <c r="B12" s="3" t="s">
        <v>3</v>
      </c>
      <c r="C12" s="4"/>
      <c r="D12" s="4">
        <v>784</v>
      </c>
      <c r="E12" s="4">
        <f t="shared" si="2"/>
        <v>784</v>
      </c>
      <c r="F12" s="4"/>
      <c r="G12" s="4">
        <v>784</v>
      </c>
      <c r="H12" s="4">
        <f t="shared" si="3"/>
        <v>784</v>
      </c>
      <c r="I12" s="4"/>
      <c r="J12" s="4">
        <v>444</v>
      </c>
      <c r="K12" s="4">
        <f t="shared" si="4"/>
        <v>444</v>
      </c>
      <c r="L12" s="4"/>
      <c r="M12" s="4">
        <v>444</v>
      </c>
      <c r="N12" s="4">
        <f t="shared" si="5"/>
        <v>444</v>
      </c>
      <c r="O12" s="8"/>
      <c r="P12" s="4">
        <v>420</v>
      </c>
      <c r="Q12" s="4">
        <f t="shared" si="6"/>
        <v>420</v>
      </c>
      <c r="R12" s="3"/>
      <c r="S12" s="3">
        <v>444</v>
      </c>
      <c r="T12" s="4">
        <f t="shared" si="7"/>
        <v>444</v>
      </c>
      <c r="U12" s="3"/>
      <c r="V12" s="3"/>
      <c r="W12" s="4">
        <f t="shared" si="8"/>
        <v>0</v>
      </c>
      <c r="X12" s="3"/>
      <c r="Y12" s="3">
        <v>420</v>
      </c>
      <c r="Z12" s="4">
        <f t="shared" si="9"/>
        <v>420</v>
      </c>
      <c r="AA12" s="3"/>
      <c r="AB12" s="4">
        <v>931.5</v>
      </c>
      <c r="AC12" s="4">
        <f t="shared" si="10"/>
        <v>931.5</v>
      </c>
      <c r="AD12" s="3"/>
      <c r="AE12" s="3"/>
      <c r="AF12" s="4">
        <f t="shared" si="11"/>
        <v>0</v>
      </c>
      <c r="AG12" s="3"/>
      <c r="AH12" s="3"/>
      <c r="AI12" s="4">
        <f t="shared" si="12"/>
        <v>0</v>
      </c>
      <c r="AJ12" s="3"/>
      <c r="AK12" s="3"/>
      <c r="AL12" s="4">
        <f t="shared" si="13"/>
        <v>0</v>
      </c>
      <c r="AM12" s="4">
        <f t="shared" si="0"/>
        <v>0</v>
      </c>
      <c r="AN12" s="4">
        <f t="shared" si="1"/>
        <v>4671.5</v>
      </c>
      <c r="AO12" s="4">
        <f t="shared" si="1"/>
        <v>4671.5</v>
      </c>
    </row>
    <row r="13" spans="1:41" ht="20.100000000000001" customHeight="1">
      <c r="A13" s="3">
        <v>2230</v>
      </c>
      <c r="B13" s="3" t="s">
        <v>4</v>
      </c>
      <c r="C13" s="4"/>
      <c r="D13" s="4"/>
      <c r="E13" s="4">
        <f t="shared" si="2"/>
        <v>0</v>
      </c>
      <c r="F13" s="4"/>
      <c r="G13" s="4"/>
      <c r="H13" s="4">
        <f t="shared" si="3"/>
        <v>0</v>
      </c>
      <c r="I13" s="4"/>
      <c r="J13" s="4"/>
      <c r="K13" s="4">
        <f t="shared" si="4"/>
        <v>0</v>
      </c>
      <c r="L13" s="4"/>
      <c r="M13" s="4"/>
      <c r="N13" s="4">
        <f t="shared" si="5"/>
        <v>0</v>
      </c>
      <c r="O13" s="4"/>
      <c r="P13" s="4"/>
      <c r="Q13" s="4">
        <f t="shared" si="6"/>
        <v>0</v>
      </c>
      <c r="R13" s="3"/>
      <c r="S13" s="3"/>
      <c r="T13" s="4">
        <f t="shared" si="7"/>
        <v>0</v>
      </c>
      <c r="U13" s="3"/>
      <c r="V13" s="3"/>
      <c r="W13" s="4">
        <f t="shared" si="8"/>
        <v>0</v>
      </c>
      <c r="X13" s="3"/>
      <c r="Y13" s="3"/>
      <c r="Z13" s="4">
        <f t="shared" si="9"/>
        <v>0</v>
      </c>
      <c r="AA13" s="3"/>
      <c r="AB13" s="4"/>
      <c r="AC13" s="4">
        <f t="shared" si="10"/>
        <v>0</v>
      </c>
      <c r="AD13" s="3"/>
      <c r="AE13" s="3"/>
      <c r="AF13" s="4">
        <f t="shared" si="11"/>
        <v>0</v>
      </c>
      <c r="AG13" s="3"/>
      <c r="AH13" s="4"/>
      <c r="AI13" s="4">
        <f t="shared" si="12"/>
        <v>0</v>
      </c>
      <c r="AJ13" s="3"/>
      <c r="AK13" s="4"/>
      <c r="AL13" s="4">
        <f t="shared" si="13"/>
        <v>0</v>
      </c>
      <c r="AM13" s="4">
        <f t="shared" si="0"/>
        <v>0</v>
      </c>
      <c r="AN13" s="4">
        <f t="shared" si="1"/>
        <v>0</v>
      </c>
      <c r="AO13" s="4">
        <f t="shared" si="1"/>
        <v>0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2"/>
        <v>0</v>
      </c>
      <c r="F14" s="4"/>
      <c r="G14" s="4"/>
      <c r="H14" s="4">
        <f t="shared" si="3"/>
        <v>0</v>
      </c>
      <c r="I14" s="4"/>
      <c r="J14" s="4"/>
      <c r="K14" s="4">
        <f t="shared" si="4"/>
        <v>0</v>
      </c>
      <c r="L14" s="4"/>
      <c r="M14" s="4">
        <v>11973</v>
      </c>
      <c r="N14" s="4">
        <f t="shared" si="5"/>
        <v>11973</v>
      </c>
      <c r="O14" s="4"/>
      <c r="P14" s="3">
        <f>3991</f>
        <v>3991</v>
      </c>
      <c r="Q14" s="4">
        <f t="shared" si="6"/>
        <v>3991</v>
      </c>
      <c r="R14" s="3"/>
      <c r="S14" s="3">
        <v>7469.1900000000005</v>
      </c>
      <c r="T14" s="4">
        <f t="shared" si="7"/>
        <v>7469.1900000000005</v>
      </c>
      <c r="U14" s="3"/>
      <c r="V14" s="4">
        <f>625+3991</f>
        <v>4616</v>
      </c>
      <c r="W14" s="4">
        <f t="shared" si="8"/>
        <v>4616</v>
      </c>
      <c r="X14" s="3"/>
      <c r="Y14" s="3">
        <f>1980.4+3991</f>
        <v>5971.4</v>
      </c>
      <c r="Z14" s="4">
        <f t="shared" si="9"/>
        <v>5971.4</v>
      </c>
      <c r="AA14" s="3"/>
      <c r="AB14" s="3">
        <f>3991</f>
        <v>3991</v>
      </c>
      <c r="AC14" s="4">
        <f t="shared" si="10"/>
        <v>3991</v>
      </c>
      <c r="AD14" s="3"/>
      <c r="AE14" s="4"/>
      <c r="AF14" s="4">
        <f t="shared" si="11"/>
        <v>0</v>
      </c>
      <c r="AG14" s="3"/>
      <c r="AH14" s="3"/>
      <c r="AI14" s="4">
        <f t="shared" si="12"/>
        <v>0</v>
      </c>
      <c r="AJ14" s="3"/>
      <c r="AK14" s="3"/>
      <c r="AL14" s="4">
        <f t="shared" si="13"/>
        <v>0</v>
      </c>
      <c r="AM14" s="4">
        <f t="shared" si="0"/>
        <v>0</v>
      </c>
      <c r="AN14" s="4">
        <f t="shared" si="1"/>
        <v>38011.589999999997</v>
      </c>
      <c r="AO14" s="4">
        <f t="shared" si="1"/>
        <v>38011.589999999997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2"/>
        <v>0</v>
      </c>
      <c r="F15" s="4"/>
      <c r="G15" s="4"/>
      <c r="H15" s="4">
        <f t="shared" si="3"/>
        <v>0</v>
      </c>
      <c r="I15" s="4"/>
      <c r="J15" s="4"/>
      <c r="K15" s="4">
        <f t="shared" si="4"/>
        <v>0</v>
      </c>
      <c r="L15" s="4"/>
      <c r="M15" s="4"/>
      <c r="N15" s="4">
        <f t="shared" si="5"/>
        <v>0</v>
      </c>
      <c r="O15" s="8"/>
      <c r="P15" s="3"/>
      <c r="Q15" s="4">
        <f t="shared" si="6"/>
        <v>0</v>
      </c>
      <c r="R15" s="3"/>
      <c r="S15" s="3"/>
      <c r="T15" s="4">
        <f t="shared" si="7"/>
        <v>0</v>
      </c>
      <c r="U15" s="3"/>
      <c r="V15" s="3"/>
      <c r="W15" s="4">
        <f t="shared" si="8"/>
        <v>0</v>
      </c>
      <c r="X15" s="3"/>
      <c r="Y15" s="3"/>
      <c r="Z15" s="4">
        <f t="shared" si="9"/>
        <v>0</v>
      </c>
      <c r="AA15" s="3"/>
      <c r="AB15" s="4"/>
      <c r="AC15" s="4">
        <f t="shared" si="10"/>
        <v>0</v>
      </c>
      <c r="AD15" s="3"/>
      <c r="AE15" s="3"/>
      <c r="AF15" s="4">
        <f t="shared" si="11"/>
        <v>0</v>
      </c>
      <c r="AG15" s="3"/>
      <c r="AH15" s="4"/>
      <c r="AI15" s="4">
        <f t="shared" si="12"/>
        <v>0</v>
      </c>
      <c r="AJ15" s="3"/>
      <c r="AK15" s="3"/>
      <c r="AL15" s="4">
        <f t="shared" si="13"/>
        <v>0</v>
      </c>
      <c r="AM15" s="4">
        <f t="shared" si="0"/>
        <v>0</v>
      </c>
      <c r="AN15" s="4">
        <f t="shared" si="1"/>
        <v>0</v>
      </c>
      <c r="AO15" s="4">
        <f t="shared" si="1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2"/>
        <v>0</v>
      </c>
      <c r="F16" s="4"/>
      <c r="G16" s="4"/>
      <c r="H16" s="4">
        <f t="shared" si="3"/>
        <v>0</v>
      </c>
      <c r="I16" s="4"/>
      <c r="J16" s="4"/>
      <c r="K16" s="4">
        <f t="shared" si="4"/>
        <v>0</v>
      </c>
      <c r="L16" s="4"/>
      <c r="M16" s="4"/>
      <c r="N16" s="4">
        <f t="shared" si="5"/>
        <v>0</v>
      </c>
      <c r="O16" s="4"/>
      <c r="P16" s="3"/>
      <c r="Q16" s="4">
        <f t="shared" si="6"/>
        <v>0</v>
      </c>
      <c r="R16" s="3"/>
      <c r="S16" s="3"/>
      <c r="T16" s="4">
        <f t="shared" si="7"/>
        <v>0</v>
      </c>
      <c r="U16" s="3"/>
      <c r="V16" s="3"/>
      <c r="W16" s="4">
        <f t="shared" si="8"/>
        <v>0</v>
      </c>
      <c r="X16" s="3"/>
      <c r="Y16" s="3"/>
      <c r="Z16" s="4">
        <f t="shared" si="9"/>
        <v>0</v>
      </c>
      <c r="AA16" s="3"/>
      <c r="AB16" s="4"/>
      <c r="AC16" s="4">
        <f t="shared" si="10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0"/>
        <v>0</v>
      </c>
      <c r="AN16" s="4">
        <f t="shared" si="1"/>
        <v>0</v>
      </c>
      <c r="AO16" s="4">
        <f t="shared" si="1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2"/>
        <v>0</v>
      </c>
      <c r="F17" s="4"/>
      <c r="G17" s="4">
        <v>133588.15</v>
      </c>
      <c r="H17" s="4">
        <f t="shared" si="3"/>
        <v>133588.15</v>
      </c>
      <c r="I17" s="4"/>
      <c r="J17" s="4">
        <v>95855.01</v>
      </c>
      <c r="K17" s="4">
        <f t="shared" si="4"/>
        <v>95855.01</v>
      </c>
      <c r="L17" s="4"/>
      <c r="M17" s="4">
        <v>123288.44</v>
      </c>
      <c r="N17" s="4">
        <f t="shared" si="5"/>
        <v>123288.44</v>
      </c>
      <c r="O17" s="4"/>
      <c r="P17" s="3"/>
      <c r="Q17" s="4">
        <f t="shared" si="6"/>
        <v>0</v>
      </c>
      <c r="R17" s="3"/>
      <c r="S17" s="3"/>
      <c r="T17" s="4">
        <f t="shared" si="7"/>
        <v>0</v>
      </c>
      <c r="U17" s="3"/>
      <c r="V17" s="3"/>
      <c r="W17" s="4">
        <f t="shared" si="8"/>
        <v>0</v>
      </c>
      <c r="X17" s="3"/>
      <c r="Y17" s="3"/>
      <c r="Z17" s="4">
        <f t="shared" si="9"/>
        <v>0</v>
      </c>
      <c r="AA17" s="3"/>
      <c r="AB17" s="4"/>
      <c r="AC17" s="4">
        <f t="shared" si="10"/>
        <v>0</v>
      </c>
      <c r="AD17" s="3"/>
      <c r="AE17" s="3"/>
      <c r="AF17" s="4">
        <f t="shared" si="11"/>
        <v>0</v>
      </c>
      <c r="AG17" s="3"/>
      <c r="AH17" s="3"/>
      <c r="AI17" s="4">
        <f t="shared" si="12"/>
        <v>0</v>
      </c>
      <c r="AJ17" s="3"/>
      <c r="AK17" s="3"/>
      <c r="AL17" s="4">
        <f t="shared" si="13"/>
        <v>0</v>
      </c>
      <c r="AM17" s="4">
        <f t="shared" si="0"/>
        <v>0</v>
      </c>
      <c r="AN17" s="4">
        <f t="shared" si="1"/>
        <v>352731.6</v>
      </c>
      <c r="AO17" s="4">
        <f t="shared" si="1"/>
        <v>352731.6</v>
      </c>
    </row>
    <row r="18" spans="1:41" ht="20.100000000000001" customHeight="1">
      <c r="A18" s="3">
        <v>2272</v>
      </c>
      <c r="B18" s="3" t="s">
        <v>9</v>
      </c>
      <c r="C18" s="4"/>
      <c r="D18" s="4">
        <v>352.8</v>
      </c>
      <c r="E18" s="4">
        <f t="shared" si="2"/>
        <v>352.8</v>
      </c>
      <c r="F18" s="4"/>
      <c r="G18" s="4">
        <v>776.16</v>
      </c>
      <c r="H18" s="4">
        <f t="shared" si="3"/>
        <v>776.16</v>
      </c>
      <c r="I18" s="4"/>
      <c r="J18" s="4">
        <v>2963.52</v>
      </c>
      <c r="K18" s="4">
        <f t="shared" si="4"/>
        <v>2963.52</v>
      </c>
      <c r="L18" s="4"/>
      <c r="M18" s="4">
        <v>705.6</v>
      </c>
      <c r="N18" s="4">
        <f t="shared" si="5"/>
        <v>705.6</v>
      </c>
      <c r="O18" s="4"/>
      <c r="P18" s="3">
        <v>282.24</v>
      </c>
      <c r="Q18" s="4">
        <f t="shared" si="6"/>
        <v>282.24</v>
      </c>
      <c r="R18" s="3"/>
      <c r="S18" s="3">
        <v>941.62</v>
      </c>
      <c r="T18" s="4">
        <f t="shared" si="7"/>
        <v>941.62</v>
      </c>
      <c r="U18" s="3"/>
      <c r="V18" s="3">
        <v>1726.3</v>
      </c>
      <c r="W18" s="4">
        <f t="shared" si="8"/>
        <v>1726.3</v>
      </c>
      <c r="X18" s="3"/>
      <c r="Y18" s="3">
        <v>470.81</v>
      </c>
      <c r="Z18" s="4">
        <f t="shared" si="9"/>
        <v>470.81</v>
      </c>
      <c r="AA18" s="3"/>
      <c r="AB18" s="3"/>
      <c r="AC18" s="4">
        <f t="shared" si="10"/>
        <v>0</v>
      </c>
      <c r="AD18" s="3"/>
      <c r="AE18" s="3"/>
      <c r="AF18" s="4">
        <f t="shared" si="11"/>
        <v>0</v>
      </c>
      <c r="AG18" s="3"/>
      <c r="AH18" s="3"/>
      <c r="AI18" s="4">
        <f t="shared" si="12"/>
        <v>0</v>
      </c>
      <c r="AJ18" s="3"/>
      <c r="AK18" s="3"/>
      <c r="AL18" s="4">
        <f t="shared" si="13"/>
        <v>0</v>
      </c>
      <c r="AM18" s="4">
        <f t="shared" si="0"/>
        <v>0</v>
      </c>
      <c r="AN18" s="4">
        <f t="shared" si="1"/>
        <v>8219.0499999999993</v>
      </c>
      <c r="AO18" s="4">
        <f t="shared" si="1"/>
        <v>8219.0499999999993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2"/>
        <v>0</v>
      </c>
      <c r="F19" s="4"/>
      <c r="G19" s="4">
        <f>23365.83+28.29</f>
        <v>23394.120000000003</v>
      </c>
      <c r="H19" s="4">
        <f t="shared" si="3"/>
        <v>23394.120000000003</v>
      </c>
      <c r="I19" s="4"/>
      <c r="J19" s="4">
        <f>47902.74+16.38</f>
        <v>47919.119999999995</v>
      </c>
      <c r="K19" s="4">
        <f t="shared" si="4"/>
        <v>47919.119999999995</v>
      </c>
      <c r="L19" s="4"/>
      <c r="M19" s="4">
        <v>29579.34</v>
      </c>
      <c r="N19" s="4">
        <f t="shared" si="5"/>
        <v>29579.34</v>
      </c>
      <c r="O19" s="4"/>
      <c r="P19" s="3">
        <f>8241.76+10.7</f>
        <v>8252.4600000000009</v>
      </c>
      <c r="Q19" s="4">
        <f t="shared" si="6"/>
        <v>8252.4600000000009</v>
      </c>
      <c r="R19" s="3"/>
      <c r="S19" s="3">
        <f>2169.46+10.04</f>
        <v>2179.5</v>
      </c>
      <c r="T19" s="4">
        <f t="shared" si="7"/>
        <v>2179.5</v>
      </c>
      <c r="U19" s="3"/>
      <c r="V19" s="3">
        <v>2263.65</v>
      </c>
      <c r="W19" s="4">
        <f t="shared" si="8"/>
        <v>2263.65</v>
      </c>
      <c r="X19" s="3"/>
      <c r="Y19" s="3">
        <v>9.3000000000000007</v>
      </c>
      <c r="Z19" s="4">
        <f t="shared" si="9"/>
        <v>9.3000000000000007</v>
      </c>
      <c r="AA19" s="3"/>
      <c r="AB19" s="3">
        <f>11.61</f>
        <v>11.61</v>
      </c>
      <c r="AC19" s="4">
        <f t="shared" si="10"/>
        <v>11.61</v>
      </c>
      <c r="AD19" s="3"/>
      <c r="AE19" s="3"/>
      <c r="AF19" s="4">
        <f t="shared" si="11"/>
        <v>0</v>
      </c>
      <c r="AG19" s="3"/>
      <c r="AH19" s="3"/>
      <c r="AI19" s="4">
        <f t="shared" si="12"/>
        <v>0</v>
      </c>
      <c r="AJ19" s="3"/>
      <c r="AK19" s="3"/>
      <c r="AL19" s="4">
        <f t="shared" si="13"/>
        <v>0</v>
      </c>
      <c r="AM19" s="4">
        <f t="shared" si="0"/>
        <v>0</v>
      </c>
      <c r="AN19" s="4">
        <f t="shared" si="1"/>
        <v>113609.1</v>
      </c>
      <c r="AO19" s="4">
        <f t="shared" si="1"/>
        <v>113609.1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2"/>
        <v>0</v>
      </c>
      <c r="F20" s="4"/>
      <c r="G20" s="4"/>
      <c r="H20" s="4">
        <f t="shared" si="3"/>
        <v>0</v>
      </c>
      <c r="I20" s="4"/>
      <c r="J20" s="4"/>
      <c r="K20" s="4">
        <f t="shared" si="4"/>
        <v>0</v>
      </c>
      <c r="L20" s="4"/>
      <c r="M20" s="4"/>
      <c r="N20" s="4">
        <f t="shared" si="5"/>
        <v>0</v>
      </c>
      <c r="O20" s="4"/>
      <c r="P20" s="3"/>
      <c r="Q20" s="4">
        <f t="shared" si="6"/>
        <v>0</v>
      </c>
      <c r="R20" s="3"/>
      <c r="S20" s="3"/>
      <c r="T20" s="4">
        <f t="shared" si="7"/>
        <v>0</v>
      </c>
      <c r="U20" s="3"/>
      <c r="V20" s="3"/>
      <c r="W20" s="4">
        <f t="shared" si="8"/>
        <v>0</v>
      </c>
      <c r="X20" s="3"/>
      <c r="Y20" s="3"/>
      <c r="Z20" s="4">
        <f t="shared" si="9"/>
        <v>0</v>
      </c>
      <c r="AA20" s="3"/>
      <c r="AB20" s="4"/>
      <c r="AC20" s="4">
        <f t="shared" si="10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3"/>
      <c r="AL20" s="4">
        <f t="shared" si="13"/>
        <v>0</v>
      </c>
      <c r="AM20" s="4">
        <f t="shared" si="0"/>
        <v>0</v>
      </c>
      <c r="AN20" s="4">
        <f t="shared" si="1"/>
        <v>0</v>
      </c>
      <c r="AO20" s="4">
        <f t="shared" si="1"/>
        <v>0</v>
      </c>
    </row>
    <row r="21" spans="1:41" ht="20.100000000000001" customHeight="1">
      <c r="A21" s="3">
        <v>2275</v>
      </c>
      <c r="B21" s="3" t="s">
        <v>12</v>
      </c>
      <c r="C21" s="4"/>
      <c r="D21" s="4"/>
      <c r="E21" s="4">
        <f t="shared" si="2"/>
        <v>0</v>
      </c>
      <c r="F21" s="4"/>
      <c r="G21" s="4"/>
      <c r="H21" s="4">
        <f t="shared" si="3"/>
        <v>0</v>
      </c>
      <c r="I21" s="4"/>
      <c r="J21" s="4"/>
      <c r="K21" s="4">
        <f t="shared" si="4"/>
        <v>0</v>
      </c>
      <c r="L21" s="4"/>
      <c r="M21" s="4"/>
      <c r="N21" s="4">
        <f t="shared" si="5"/>
        <v>0</v>
      </c>
      <c r="O21" s="4"/>
      <c r="P21" s="3"/>
      <c r="Q21" s="4">
        <f t="shared" si="6"/>
        <v>0</v>
      </c>
      <c r="R21" s="3"/>
      <c r="S21" s="3"/>
      <c r="T21" s="4">
        <f t="shared" si="7"/>
        <v>0</v>
      </c>
      <c r="U21" s="3"/>
      <c r="V21" s="3"/>
      <c r="W21" s="4">
        <f t="shared" si="8"/>
        <v>0</v>
      </c>
      <c r="X21" s="3"/>
      <c r="Y21" s="3"/>
      <c r="Z21" s="4">
        <f t="shared" si="9"/>
        <v>0</v>
      </c>
      <c r="AA21" s="3"/>
      <c r="AB21" s="3"/>
      <c r="AC21" s="4">
        <f t="shared" si="10"/>
        <v>0</v>
      </c>
      <c r="AD21" s="3"/>
      <c r="AE21" s="3"/>
      <c r="AF21" s="4">
        <f t="shared" si="11"/>
        <v>0</v>
      </c>
      <c r="AG21" s="3"/>
      <c r="AH21" s="3"/>
      <c r="AI21" s="4">
        <f t="shared" si="12"/>
        <v>0</v>
      </c>
      <c r="AJ21" s="3"/>
      <c r="AK21" s="3"/>
      <c r="AL21" s="4">
        <f t="shared" si="13"/>
        <v>0</v>
      </c>
      <c r="AM21" s="4">
        <f t="shared" si="0"/>
        <v>0</v>
      </c>
      <c r="AN21" s="4">
        <f t="shared" si="1"/>
        <v>0</v>
      </c>
      <c r="AO21" s="4">
        <f t="shared" si="1"/>
        <v>0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2"/>
        <v>0</v>
      </c>
      <c r="F22" s="4"/>
      <c r="G22" s="4"/>
      <c r="H22" s="4">
        <f t="shared" si="3"/>
        <v>0</v>
      </c>
      <c r="I22" s="4"/>
      <c r="J22" s="4"/>
      <c r="K22" s="4">
        <f t="shared" si="4"/>
        <v>0</v>
      </c>
      <c r="L22" s="4"/>
      <c r="M22" s="4"/>
      <c r="N22" s="4">
        <f t="shared" si="5"/>
        <v>0</v>
      </c>
      <c r="O22" s="4"/>
      <c r="P22" s="3"/>
      <c r="Q22" s="4">
        <f t="shared" si="6"/>
        <v>0</v>
      </c>
      <c r="R22" s="3"/>
      <c r="S22" s="3">
        <v>600</v>
      </c>
      <c r="T22" s="4">
        <f t="shared" si="7"/>
        <v>600</v>
      </c>
      <c r="U22" s="3"/>
      <c r="V22" s="3"/>
      <c r="W22" s="4">
        <f t="shared" si="8"/>
        <v>0</v>
      </c>
      <c r="X22" s="3"/>
      <c r="Y22" s="3">
        <v>1020</v>
      </c>
      <c r="Z22" s="4">
        <f t="shared" si="9"/>
        <v>1020</v>
      </c>
      <c r="AA22" s="3"/>
      <c r="AB22" s="4"/>
      <c r="AC22" s="4">
        <f t="shared" si="10"/>
        <v>0</v>
      </c>
      <c r="AD22" s="3"/>
      <c r="AE22" s="3"/>
      <c r="AF22" s="4">
        <f t="shared" si="11"/>
        <v>0</v>
      </c>
      <c r="AG22" s="3"/>
      <c r="AH22" s="3"/>
      <c r="AI22" s="4">
        <f t="shared" si="12"/>
        <v>0</v>
      </c>
      <c r="AJ22" s="3"/>
      <c r="AK22" s="3"/>
      <c r="AL22" s="4">
        <f t="shared" si="13"/>
        <v>0</v>
      </c>
      <c r="AM22" s="4">
        <f t="shared" si="0"/>
        <v>0</v>
      </c>
      <c r="AN22" s="4">
        <f t="shared" si="1"/>
        <v>1620</v>
      </c>
      <c r="AO22" s="4">
        <f t="shared" si="1"/>
        <v>1620</v>
      </c>
    </row>
    <row r="23" spans="1:41" ht="29.25" customHeight="1">
      <c r="A23" s="6">
        <v>2700</v>
      </c>
      <c r="B23" s="6" t="s">
        <v>14</v>
      </c>
      <c r="C23" s="4"/>
      <c r="D23" s="4"/>
      <c r="E23" s="4">
        <f t="shared" si="2"/>
        <v>0</v>
      </c>
      <c r="F23" s="4"/>
      <c r="G23" s="4"/>
      <c r="H23" s="4">
        <f t="shared" si="3"/>
        <v>0</v>
      </c>
      <c r="I23" s="4"/>
      <c r="J23" s="4"/>
      <c r="K23" s="4">
        <f t="shared" si="4"/>
        <v>0</v>
      </c>
      <c r="L23" s="4"/>
      <c r="M23" s="4"/>
      <c r="N23" s="4">
        <f t="shared" si="5"/>
        <v>0</v>
      </c>
      <c r="O23" s="4"/>
      <c r="P23" s="3"/>
      <c r="Q23" s="4">
        <f t="shared" si="6"/>
        <v>0</v>
      </c>
      <c r="R23" s="3"/>
      <c r="S23" s="3"/>
      <c r="T23" s="4">
        <f t="shared" si="7"/>
        <v>0</v>
      </c>
      <c r="U23" s="3"/>
      <c r="V23" s="3"/>
      <c r="W23" s="4">
        <f t="shared" si="8"/>
        <v>0</v>
      </c>
      <c r="X23" s="3"/>
      <c r="Y23" s="3"/>
      <c r="Z23" s="4">
        <f t="shared" si="9"/>
        <v>0</v>
      </c>
      <c r="AA23" s="3"/>
      <c r="AB23" s="4"/>
      <c r="AC23" s="4">
        <f t="shared" si="10"/>
        <v>0</v>
      </c>
      <c r="AD23" s="3"/>
      <c r="AE23" s="3"/>
      <c r="AF23" s="4">
        <f t="shared" si="11"/>
        <v>0</v>
      </c>
      <c r="AG23" s="3"/>
      <c r="AH23" s="3"/>
      <c r="AI23" s="4">
        <f t="shared" si="12"/>
        <v>0</v>
      </c>
      <c r="AJ23" s="3"/>
      <c r="AK23" s="3"/>
      <c r="AL23" s="4">
        <f t="shared" si="13"/>
        <v>0</v>
      </c>
      <c r="AM23" s="4">
        <f t="shared" si="0"/>
        <v>0</v>
      </c>
      <c r="AN23" s="4">
        <f t="shared" si="1"/>
        <v>0</v>
      </c>
      <c r="AO23" s="4">
        <f t="shared" si="1"/>
        <v>0</v>
      </c>
    </row>
    <row r="24" spans="1:41" ht="29.25" customHeight="1">
      <c r="A24" s="3">
        <v>2800</v>
      </c>
      <c r="B24" s="3" t="s">
        <v>44</v>
      </c>
      <c r="C24" s="4"/>
      <c r="D24" s="4"/>
      <c r="E24" s="4">
        <f t="shared" si="2"/>
        <v>0</v>
      </c>
      <c r="F24" s="4"/>
      <c r="G24" s="4"/>
      <c r="H24" s="4">
        <f t="shared" si="3"/>
        <v>0</v>
      </c>
      <c r="I24" s="4"/>
      <c r="J24" s="4"/>
      <c r="K24" s="4">
        <f t="shared" si="4"/>
        <v>0</v>
      </c>
      <c r="L24" s="4"/>
      <c r="M24" s="4"/>
      <c r="N24" s="4">
        <f t="shared" si="5"/>
        <v>0</v>
      </c>
      <c r="O24" s="4"/>
      <c r="P24" s="4"/>
      <c r="Q24" s="4">
        <f t="shared" si="6"/>
        <v>0</v>
      </c>
      <c r="R24" s="4"/>
      <c r="S24" s="4"/>
      <c r="T24" s="4">
        <f t="shared" si="7"/>
        <v>0</v>
      </c>
      <c r="U24" s="4"/>
      <c r="V24" s="4">
        <v>-12723.72</v>
      </c>
      <c r="W24" s="4">
        <f t="shared" si="8"/>
        <v>-12723.72</v>
      </c>
      <c r="X24" s="4"/>
      <c r="Y24" s="4"/>
      <c r="Z24" s="4">
        <f t="shared" si="9"/>
        <v>0</v>
      </c>
      <c r="AA24" s="4"/>
      <c r="AB24" s="4"/>
      <c r="AC24" s="4">
        <f t="shared" si="10"/>
        <v>0</v>
      </c>
      <c r="AD24" s="4"/>
      <c r="AE24" s="4"/>
      <c r="AF24" s="4">
        <f t="shared" ref="AF24" si="14">AE24+AD24</f>
        <v>0</v>
      </c>
      <c r="AG24" s="4"/>
      <c r="AH24" s="4"/>
      <c r="AI24" s="4">
        <f t="shared" si="12"/>
        <v>0</v>
      </c>
      <c r="AJ24" s="4"/>
      <c r="AK24" s="4"/>
      <c r="AL24" s="4">
        <f t="shared" ref="AL24" si="15">AK24+AJ24</f>
        <v>0</v>
      </c>
      <c r="AM24" s="4">
        <f t="shared" ref="AM24" si="16">AL24+AK24</f>
        <v>0</v>
      </c>
      <c r="AN24" s="4">
        <f t="shared" si="1"/>
        <v>-12723.72</v>
      </c>
      <c r="AO24" s="4">
        <f t="shared" si="1"/>
        <v>-12723.72</v>
      </c>
    </row>
    <row r="25" spans="1:41" ht="28.5" customHeight="1">
      <c r="A25" s="3">
        <v>3110</v>
      </c>
      <c r="B25" s="5" t="s">
        <v>15</v>
      </c>
      <c r="C25" s="4"/>
      <c r="D25" s="4"/>
      <c r="E25" s="4">
        <f t="shared" si="2"/>
        <v>0</v>
      </c>
      <c r="F25" s="4"/>
      <c r="G25" s="4"/>
      <c r="H25" s="4">
        <f t="shared" si="3"/>
        <v>0</v>
      </c>
      <c r="I25" s="4"/>
      <c r="J25" s="4"/>
      <c r="K25" s="4">
        <f t="shared" si="4"/>
        <v>0</v>
      </c>
      <c r="L25" s="4"/>
      <c r="M25" s="4"/>
      <c r="N25" s="4">
        <f t="shared" si="5"/>
        <v>0</v>
      </c>
      <c r="O25" s="4"/>
      <c r="P25" s="3"/>
      <c r="Q25" s="4">
        <f t="shared" si="6"/>
        <v>0</v>
      </c>
      <c r="R25" s="3"/>
      <c r="S25" s="3"/>
      <c r="T25" s="4">
        <f t="shared" si="7"/>
        <v>0</v>
      </c>
      <c r="U25" s="3"/>
      <c r="V25" s="3"/>
      <c r="W25" s="4">
        <f t="shared" si="8"/>
        <v>0</v>
      </c>
      <c r="X25" s="3"/>
      <c r="Y25" s="3"/>
      <c r="Z25" s="4">
        <f t="shared" si="9"/>
        <v>0</v>
      </c>
      <c r="AA25" s="3"/>
      <c r="AB25" s="4"/>
      <c r="AC25" s="4">
        <f t="shared" si="10"/>
        <v>0</v>
      </c>
      <c r="AD25" s="3"/>
      <c r="AE25" s="3"/>
      <c r="AF25" s="4">
        <f t="shared" si="11"/>
        <v>0</v>
      </c>
      <c r="AG25" s="3"/>
      <c r="AH25" s="3"/>
      <c r="AI25" s="4">
        <f t="shared" si="12"/>
        <v>0</v>
      </c>
      <c r="AJ25" s="3"/>
      <c r="AK25" s="3"/>
      <c r="AL25" s="4">
        <f t="shared" si="13"/>
        <v>0</v>
      </c>
      <c r="AM25" s="4">
        <f t="shared" si="0"/>
        <v>0</v>
      </c>
      <c r="AN25" s="4">
        <f t="shared" si="1"/>
        <v>0</v>
      </c>
      <c r="AO25" s="4">
        <f t="shared" si="1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2"/>
        <v>0</v>
      </c>
      <c r="F26" s="4"/>
      <c r="G26" s="4"/>
      <c r="H26" s="4">
        <f t="shared" si="3"/>
        <v>0</v>
      </c>
      <c r="I26" s="4"/>
      <c r="J26" s="4"/>
      <c r="K26" s="4">
        <f t="shared" si="4"/>
        <v>0</v>
      </c>
      <c r="L26" s="4"/>
      <c r="M26" s="4"/>
      <c r="N26" s="4">
        <f t="shared" si="5"/>
        <v>0</v>
      </c>
      <c r="O26" s="4"/>
      <c r="P26" s="3"/>
      <c r="Q26" s="4">
        <f t="shared" si="6"/>
        <v>0</v>
      </c>
      <c r="R26" s="3"/>
      <c r="S26" s="3"/>
      <c r="T26" s="4">
        <f t="shared" si="7"/>
        <v>0</v>
      </c>
      <c r="U26" s="3"/>
      <c r="V26" s="3"/>
      <c r="W26" s="4">
        <f t="shared" si="8"/>
        <v>0</v>
      </c>
      <c r="X26" s="3"/>
      <c r="Y26" s="3"/>
      <c r="Z26" s="4">
        <f t="shared" si="9"/>
        <v>0</v>
      </c>
      <c r="AA26" s="3"/>
      <c r="AB26" s="4"/>
      <c r="AC26" s="4">
        <f t="shared" si="10"/>
        <v>0</v>
      </c>
      <c r="AD26" s="3"/>
      <c r="AE26" s="3"/>
      <c r="AF26" s="4">
        <f t="shared" si="11"/>
        <v>0</v>
      </c>
      <c r="AG26" s="3"/>
      <c r="AH26" s="3"/>
      <c r="AI26" s="4">
        <f t="shared" si="12"/>
        <v>0</v>
      </c>
      <c r="AJ26" s="3"/>
      <c r="AK26" s="3"/>
      <c r="AL26" s="4">
        <f t="shared" si="13"/>
        <v>0</v>
      </c>
      <c r="AM26" s="4">
        <f t="shared" si="0"/>
        <v>0</v>
      </c>
      <c r="AN26" s="4">
        <f t="shared" si="1"/>
        <v>0</v>
      </c>
      <c r="AO26" s="4">
        <f t="shared" si="1"/>
        <v>0</v>
      </c>
    </row>
    <row r="27" spans="1:41" ht="34.5" customHeight="1">
      <c r="A27" s="6"/>
      <c r="B27" s="5"/>
      <c r="C27" s="4"/>
      <c r="D27" s="4"/>
      <c r="E27" s="4">
        <f t="shared" si="2"/>
        <v>0</v>
      </c>
      <c r="F27" s="4"/>
      <c r="G27" s="4"/>
      <c r="H27" s="4">
        <f t="shared" si="3"/>
        <v>0</v>
      </c>
      <c r="I27" s="4"/>
      <c r="J27" s="4"/>
      <c r="K27" s="4">
        <f t="shared" si="4"/>
        <v>0</v>
      </c>
      <c r="L27" s="4"/>
      <c r="M27" s="4"/>
      <c r="N27" s="4">
        <f t="shared" si="5"/>
        <v>0</v>
      </c>
      <c r="O27" s="4"/>
      <c r="P27" s="3"/>
      <c r="Q27" s="4">
        <f t="shared" si="6"/>
        <v>0</v>
      </c>
      <c r="R27" s="3"/>
      <c r="S27" s="3"/>
      <c r="T27" s="4">
        <f t="shared" si="7"/>
        <v>0</v>
      </c>
      <c r="U27" s="3"/>
      <c r="V27" s="3"/>
      <c r="W27" s="4">
        <f t="shared" si="8"/>
        <v>0</v>
      </c>
      <c r="X27" s="3"/>
      <c r="Y27" s="3"/>
      <c r="Z27" s="4">
        <f t="shared" si="9"/>
        <v>0</v>
      </c>
      <c r="AA27" s="3"/>
      <c r="AB27" s="4"/>
      <c r="AC27" s="4">
        <f t="shared" si="10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0"/>
        <v>0</v>
      </c>
      <c r="AN27" s="4">
        <f t="shared" si="1"/>
        <v>0</v>
      </c>
      <c r="AO27" s="4">
        <f t="shared" si="1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2"/>
        <v>0</v>
      </c>
      <c r="F28" s="4"/>
      <c r="G28" s="4"/>
      <c r="H28" s="4">
        <f t="shared" si="3"/>
        <v>0</v>
      </c>
      <c r="I28" s="4"/>
      <c r="J28" s="4"/>
      <c r="K28" s="4">
        <f t="shared" si="4"/>
        <v>0</v>
      </c>
      <c r="L28" s="4"/>
      <c r="M28" s="4"/>
      <c r="N28" s="4">
        <f t="shared" si="5"/>
        <v>0</v>
      </c>
      <c r="O28" s="8"/>
      <c r="P28" s="3"/>
      <c r="Q28" s="4">
        <f t="shared" si="6"/>
        <v>0</v>
      </c>
      <c r="R28" s="3"/>
      <c r="S28" s="3"/>
      <c r="T28" s="4">
        <f t="shared" si="7"/>
        <v>0</v>
      </c>
      <c r="U28" s="3"/>
      <c r="V28" s="3"/>
      <c r="W28" s="4">
        <f t="shared" si="8"/>
        <v>0</v>
      </c>
      <c r="X28" s="3"/>
      <c r="Y28" s="3"/>
      <c r="Z28" s="4">
        <f t="shared" si="9"/>
        <v>0</v>
      </c>
      <c r="AA28" s="3"/>
      <c r="AB28" s="4"/>
      <c r="AC28" s="4">
        <f t="shared" si="10"/>
        <v>0</v>
      </c>
      <c r="AD28" s="3"/>
      <c r="AE28" s="3"/>
      <c r="AF28" s="4">
        <f t="shared" si="11"/>
        <v>0</v>
      </c>
      <c r="AG28" s="3"/>
      <c r="AH28" s="3"/>
      <c r="AI28" s="4">
        <f t="shared" si="12"/>
        <v>0</v>
      </c>
      <c r="AJ28" s="3"/>
      <c r="AK28" s="3"/>
      <c r="AL28" s="4">
        <f t="shared" si="13"/>
        <v>0</v>
      </c>
      <c r="AM28" s="4">
        <f t="shared" si="0"/>
        <v>0</v>
      </c>
      <c r="AN28" s="4">
        <f>AK28+AH28+AE28+AB28+Y28+V28+S28+P28+M28+J28+G28+D28</f>
        <v>0</v>
      </c>
      <c r="AO28" s="4">
        <f>AL28+AI28+AF28+AC28+Z28+W28+T28+Q28+N28+K28+H28+E28</f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2"/>
        <v>0</v>
      </c>
      <c r="F29" s="4"/>
      <c r="G29" s="4"/>
      <c r="H29" s="4">
        <f t="shared" si="3"/>
        <v>0</v>
      </c>
      <c r="I29" s="4"/>
      <c r="J29" s="4"/>
      <c r="K29" s="4">
        <f t="shared" si="4"/>
        <v>0</v>
      </c>
      <c r="L29" s="4"/>
      <c r="M29" s="4">
        <v>925</v>
      </c>
      <c r="N29" s="4">
        <f t="shared" si="5"/>
        <v>925</v>
      </c>
      <c r="O29" s="8"/>
      <c r="P29" s="3"/>
      <c r="Q29" s="4"/>
      <c r="R29" s="3"/>
      <c r="S29" s="3"/>
      <c r="T29" s="4">
        <f t="shared" si="7"/>
        <v>0</v>
      </c>
      <c r="U29" s="3"/>
      <c r="V29" s="3">
        <v>925</v>
      </c>
      <c r="W29" s="4">
        <f t="shared" si="8"/>
        <v>925</v>
      </c>
      <c r="X29" s="3"/>
      <c r="Y29" s="3"/>
      <c r="Z29" s="4">
        <f t="shared" si="9"/>
        <v>0</v>
      </c>
      <c r="AA29" s="3"/>
      <c r="AB29" s="4"/>
      <c r="AC29" s="4">
        <f t="shared" si="10"/>
        <v>0</v>
      </c>
      <c r="AD29" s="3"/>
      <c r="AE29" s="3"/>
      <c r="AF29" s="4">
        <f t="shared" si="11"/>
        <v>0</v>
      </c>
      <c r="AG29" s="3"/>
      <c r="AH29" s="3"/>
      <c r="AI29" s="4">
        <f t="shared" si="12"/>
        <v>0</v>
      </c>
      <c r="AJ29" s="3"/>
      <c r="AK29" s="3"/>
      <c r="AL29" s="4">
        <f t="shared" si="13"/>
        <v>0</v>
      </c>
      <c r="AM29" s="4">
        <f t="shared" si="0"/>
        <v>0</v>
      </c>
      <c r="AN29" s="4">
        <f>AK29+AH29+AE29+AB29+Y29+V29+S29+P29+M29+J29+G29+D29</f>
        <v>1850</v>
      </c>
      <c r="AO29" s="4">
        <f>AL29+AI29+AF29+AC29+Z29+W29+T29+Q29+N29+K29+H29+E29</f>
        <v>1850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17">SUM(D9:D28)</f>
        <v>176793.30999999997</v>
      </c>
      <c r="E30" s="8">
        <f t="shared" si="17"/>
        <v>176793.30999999997</v>
      </c>
      <c r="F30" s="8">
        <f t="shared" si="17"/>
        <v>0</v>
      </c>
      <c r="G30" s="8">
        <f t="shared" si="17"/>
        <v>328271.09999999992</v>
      </c>
      <c r="H30" s="8">
        <f t="shared" si="17"/>
        <v>328271.09999999992</v>
      </c>
      <c r="I30" s="8">
        <f t="shared" si="17"/>
        <v>0</v>
      </c>
      <c r="J30" s="8">
        <f t="shared" si="17"/>
        <v>328417.55000000005</v>
      </c>
      <c r="K30" s="8">
        <f>J30+I30</f>
        <v>328417.55000000005</v>
      </c>
      <c r="L30" s="8">
        <f t="shared" si="17"/>
        <v>0</v>
      </c>
      <c r="M30" s="8">
        <f t="shared" si="17"/>
        <v>347572.75</v>
      </c>
      <c r="N30" s="8">
        <f>M30+L30</f>
        <v>347572.75</v>
      </c>
      <c r="O30" s="8">
        <f t="shared" si="17"/>
        <v>0</v>
      </c>
      <c r="P30" s="8">
        <f t="shared" si="17"/>
        <v>189539.97999999998</v>
      </c>
      <c r="Q30" s="8">
        <f>P30+O30</f>
        <v>189539.97999999998</v>
      </c>
      <c r="R30" s="8">
        <f t="shared" si="17"/>
        <v>0</v>
      </c>
      <c r="S30" s="8">
        <f t="shared" si="17"/>
        <v>193486.19</v>
      </c>
      <c r="T30" s="8">
        <f t="shared" si="7"/>
        <v>193486.19</v>
      </c>
      <c r="U30" s="8">
        <f t="shared" si="17"/>
        <v>0</v>
      </c>
      <c r="V30" s="8">
        <f t="shared" si="17"/>
        <v>200184.44999999998</v>
      </c>
      <c r="W30" s="8">
        <f t="shared" si="8"/>
        <v>200184.44999999998</v>
      </c>
      <c r="X30" s="8">
        <f t="shared" si="17"/>
        <v>0</v>
      </c>
      <c r="Y30" s="8">
        <f t="shared" si="17"/>
        <v>170940.93999999997</v>
      </c>
      <c r="Z30" s="8">
        <f t="shared" si="9"/>
        <v>170940.93999999997</v>
      </c>
      <c r="AA30" s="8">
        <f t="shared" si="17"/>
        <v>0</v>
      </c>
      <c r="AB30" s="8">
        <f t="shared" si="17"/>
        <v>222419.75</v>
      </c>
      <c r="AC30" s="8">
        <f>AB30+AA30</f>
        <v>222419.75</v>
      </c>
      <c r="AD30" s="8">
        <f t="shared" si="17"/>
        <v>0</v>
      </c>
      <c r="AE30" s="8">
        <f t="shared" si="17"/>
        <v>0</v>
      </c>
      <c r="AF30" s="8">
        <f>AE30+AD30</f>
        <v>0</v>
      </c>
      <c r="AG30" s="8">
        <f t="shared" si="17"/>
        <v>0</v>
      </c>
      <c r="AH30" s="8">
        <f t="shared" si="17"/>
        <v>0</v>
      </c>
      <c r="AI30" s="8">
        <f>AH30+AG30</f>
        <v>0</v>
      </c>
      <c r="AJ30" s="8">
        <f t="shared" si="17"/>
        <v>0</v>
      </c>
      <c r="AK30" s="8">
        <f t="shared" si="17"/>
        <v>0</v>
      </c>
      <c r="AL30" s="8">
        <f t="shared" si="13"/>
        <v>0</v>
      </c>
      <c r="AM30" s="8">
        <f t="shared" si="17"/>
        <v>0</v>
      </c>
      <c r="AN30" s="8">
        <f t="shared" si="17"/>
        <v>2157626.02</v>
      </c>
      <c r="AO30" s="8">
        <f t="shared" si="17"/>
        <v>2157626.02</v>
      </c>
    </row>
    <row r="32" spans="1:41">
      <c r="P32" t="s">
        <v>61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6">
    <mergeCell ref="AM7:AO7"/>
    <mergeCell ref="U7:W7"/>
    <mergeCell ref="X7:Z7"/>
    <mergeCell ref="AA7:AC7"/>
    <mergeCell ref="AD7:AF7"/>
    <mergeCell ref="AG7:AI7"/>
    <mergeCell ref="AJ7:AL7"/>
    <mergeCell ref="R7:T7"/>
    <mergeCell ref="A5:O5"/>
    <mergeCell ref="A6:O6"/>
    <mergeCell ref="A7:B7"/>
    <mergeCell ref="C7:E7"/>
    <mergeCell ref="F7:H7"/>
    <mergeCell ref="I7:K7"/>
    <mergeCell ref="L7:N7"/>
    <mergeCell ref="O7:Q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7" topLeftCell="S8" activePane="bottomRight" state="frozen"/>
      <selection pane="topRight" activeCell="C1" sqref="C1"/>
      <selection pane="bottomLeft" activeCell="A9" sqref="A9"/>
      <selection pane="bottomRight" activeCell="AA22" sqref="AA22"/>
    </sheetView>
  </sheetViews>
  <sheetFormatPr defaultRowHeight="14.4"/>
  <cols>
    <col min="1" max="1" width="5.88671875" customWidth="1"/>
    <col min="2" max="2" width="42.88671875" customWidth="1"/>
    <col min="3" max="3" width="11.44140625" customWidth="1"/>
    <col min="4" max="5" width="10.44140625" customWidth="1"/>
    <col min="6" max="6" width="11.6640625" customWidth="1"/>
    <col min="7" max="7" width="10.44140625" customWidth="1"/>
    <col min="8" max="8" width="11" customWidth="1"/>
    <col min="9" max="9" width="11.109375" customWidth="1"/>
    <col min="10" max="10" width="10.6640625" customWidth="1"/>
    <col min="11" max="11" width="10.44140625" customWidth="1"/>
    <col min="12" max="12" width="12.44140625" customWidth="1"/>
    <col min="13" max="14" width="10.6640625" customWidth="1"/>
    <col min="15" max="15" width="13.5546875" customWidth="1"/>
    <col min="16" max="16" width="11.33203125" customWidth="1"/>
    <col min="17" max="17" width="10.5546875" customWidth="1"/>
    <col min="18" max="18" width="11.44140625" customWidth="1"/>
    <col min="19" max="19" width="10.6640625" customWidth="1"/>
    <col min="20" max="20" width="10.44140625" customWidth="1"/>
    <col min="21" max="22" width="11.33203125" customWidth="1"/>
    <col min="23" max="23" width="10.88671875" customWidth="1"/>
    <col min="24" max="24" width="11.44140625" customWidth="1"/>
    <col min="25" max="25" width="10.88671875" customWidth="1"/>
    <col min="26" max="26" width="10.6640625" customWidth="1"/>
    <col min="27" max="27" width="11.44140625" customWidth="1"/>
    <col min="28" max="28" width="10.88671875" customWidth="1"/>
    <col min="29" max="29" width="11.33203125" customWidth="1"/>
    <col min="30" max="30" width="11.44140625" customWidth="1"/>
    <col min="31" max="31" width="12.109375" customWidth="1"/>
    <col min="32" max="32" width="11.44140625" customWidth="1"/>
    <col min="33" max="33" width="10.88671875" customWidth="1"/>
    <col min="34" max="34" width="10.44140625" customWidth="1"/>
    <col min="35" max="35" width="11.44140625" customWidth="1"/>
    <col min="36" max="36" width="11.88671875" customWidth="1"/>
    <col min="37" max="37" width="10.88671875" customWidth="1"/>
    <col min="38" max="38" width="11.44140625" customWidth="1"/>
    <col min="39" max="39" width="13.109375" customWidth="1"/>
    <col min="40" max="40" width="12.33203125" customWidth="1"/>
    <col min="41" max="41" width="12.66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10.5" customHeight="1">
      <c r="L2" s="1"/>
      <c r="M2" s="1"/>
      <c r="N2" s="1"/>
      <c r="O2" s="1"/>
      <c r="R2" s="1"/>
      <c r="S2" s="1"/>
      <c r="T2" s="1"/>
    </row>
    <row r="3" spans="1:41" ht="11.25" customHeight="1">
      <c r="L3" s="1"/>
      <c r="M3" s="1"/>
      <c r="N3" s="1"/>
      <c r="O3" s="1"/>
      <c r="R3" s="1" t="s">
        <v>33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45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46"/>
      <c r="B8" s="47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212195.78</v>
      </c>
      <c r="E9" s="4">
        <f>D9+C9</f>
        <v>212195.78</v>
      </c>
      <c r="F9" s="4"/>
      <c r="G9" s="4">
        <v>205333.76000000001</v>
      </c>
      <c r="H9" s="4">
        <f>G9+F9</f>
        <v>205333.76000000001</v>
      </c>
      <c r="I9" s="4"/>
      <c r="J9" s="4">
        <v>203758.82</v>
      </c>
      <c r="K9" s="4">
        <f>J9+I9</f>
        <v>203758.82</v>
      </c>
      <c r="L9" s="4"/>
      <c r="M9" s="4">
        <v>213199.47</v>
      </c>
      <c r="N9" s="4">
        <f>M9+L9</f>
        <v>213199.47</v>
      </c>
      <c r="O9" s="4"/>
      <c r="P9" s="3">
        <v>224465.65</v>
      </c>
      <c r="Q9" s="4">
        <f>P9+O9</f>
        <v>224465.65</v>
      </c>
      <c r="R9" s="3"/>
      <c r="S9" s="3">
        <v>306417.65999999997</v>
      </c>
      <c r="T9" s="4">
        <f>S9+R9</f>
        <v>306417.65999999997</v>
      </c>
      <c r="U9" s="3"/>
      <c r="V9" s="3">
        <v>130725.55</v>
      </c>
      <c r="W9" s="4">
        <f>V9+U9</f>
        <v>130725.55</v>
      </c>
      <c r="X9" s="3"/>
      <c r="Y9" s="3">
        <f>166841.88</f>
        <v>166841.88</v>
      </c>
      <c r="Z9" s="4">
        <f>Y9+X9</f>
        <v>166841.88</v>
      </c>
      <c r="AA9" s="3"/>
      <c r="AB9" s="3">
        <v>246153.84</v>
      </c>
      <c r="AC9" s="4">
        <f>AB9+AA9</f>
        <v>246153.84</v>
      </c>
      <c r="AD9" s="3"/>
      <c r="AE9" s="3"/>
      <c r="AF9" s="4">
        <f>AD9+AE9</f>
        <v>0</v>
      </c>
      <c r="AG9" s="3"/>
      <c r="AH9" s="3"/>
      <c r="AI9" s="4">
        <f>AH9+AG9</f>
        <v>0</v>
      </c>
      <c r="AJ9" s="3"/>
      <c r="AK9" s="3"/>
      <c r="AL9" s="4">
        <f>AJ9+AK9</f>
        <v>0</v>
      </c>
      <c r="AM9" s="4">
        <f t="shared" ref="AM9:AM29" si="0">AJ9+AG9+AD9+AA9+X9+U9+R9+O9+L9+I9+F9+C9</f>
        <v>0</v>
      </c>
      <c r="AN9" s="4">
        <f t="shared" ref="AN9:AO26" si="1">AK9+AH9+AE9+AB9+Y9+V9+S9+P9+M9+J9+G9+D9</f>
        <v>1909092.41</v>
      </c>
      <c r="AO9" s="4">
        <f t="shared" si="1"/>
        <v>1909092.41</v>
      </c>
    </row>
    <row r="10" spans="1:41" ht="20.100000000000001" customHeight="1">
      <c r="A10" s="3">
        <v>2120</v>
      </c>
      <c r="B10" s="3" t="s">
        <v>1</v>
      </c>
      <c r="C10" s="4"/>
      <c r="D10" s="4">
        <v>48759.39</v>
      </c>
      <c r="E10" s="4">
        <f t="shared" ref="E10:E29" si="2">D10+C10</f>
        <v>48759.39</v>
      </c>
      <c r="F10" s="4"/>
      <c r="G10" s="4">
        <v>47112.63</v>
      </c>
      <c r="H10" s="4">
        <f t="shared" ref="H10:H29" si="3">G10+F10</f>
        <v>47112.63</v>
      </c>
      <c r="I10" s="4"/>
      <c r="J10" s="4">
        <v>47778.7</v>
      </c>
      <c r="K10" s="4">
        <f t="shared" ref="K10:K29" si="4">J10+I10</f>
        <v>47778.7</v>
      </c>
      <c r="L10" s="4"/>
      <c r="M10" s="4">
        <v>50985.63</v>
      </c>
      <c r="N10" s="4">
        <f t="shared" ref="N10:N30" si="5">M10+L10</f>
        <v>50985.63</v>
      </c>
      <c r="O10" s="4"/>
      <c r="P10" s="3">
        <v>52628.3</v>
      </c>
      <c r="Q10" s="4">
        <f t="shared" ref="Q10:Q29" si="6">P10+O10</f>
        <v>52628.3</v>
      </c>
      <c r="R10" s="3"/>
      <c r="S10" s="3">
        <v>71037.06</v>
      </c>
      <c r="T10" s="4">
        <f t="shared" ref="T10:T29" si="7">S10+R10</f>
        <v>71037.06</v>
      </c>
      <c r="U10" s="3"/>
      <c r="V10" s="3">
        <v>34908.160000000003</v>
      </c>
      <c r="W10" s="4">
        <f t="shared" ref="W10:W29" si="8">V10+U10</f>
        <v>34908.160000000003</v>
      </c>
      <c r="X10" s="3"/>
      <c r="Y10" s="3">
        <v>42369.78</v>
      </c>
      <c r="Z10" s="4">
        <f t="shared" ref="Z10:Z30" si="9">Y10+X10</f>
        <v>42369.78</v>
      </c>
      <c r="AA10" s="4"/>
      <c r="AB10" s="3">
        <v>56116.59</v>
      </c>
      <c r="AC10" s="4">
        <f t="shared" ref="AC10:AC29" si="10">AB10+AA10</f>
        <v>56116.59</v>
      </c>
      <c r="AD10" s="3"/>
      <c r="AE10" s="3"/>
      <c r="AF10" s="4">
        <f t="shared" ref="AF10:AF29" si="11">AD10+AE10</f>
        <v>0</v>
      </c>
      <c r="AG10" s="3"/>
      <c r="AH10" s="3"/>
      <c r="AI10" s="4">
        <f t="shared" ref="AI10:AI29" si="12">AH10+AG10</f>
        <v>0</v>
      </c>
      <c r="AJ10" s="4"/>
      <c r="AK10" s="3"/>
      <c r="AL10" s="4">
        <f t="shared" ref="AL10:AL29" si="13">AJ10+AK10</f>
        <v>0</v>
      </c>
      <c r="AM10" s="4">
        <f t="shared" si="0"/>
        <v>0</v>
      </c>
      <c r="AN10" s="4">
        <f t="shared" si="1"/>
        <v>451696.24000000005</v>
      </c>
      <c r="AO10" s="4">
        <f t="shared" si="1"/>
        <v>451696.24000000005</v>
      </c>
    </row>
    <row r="11" spans="1:41" ht="20.100000000000001" customHeight="1">
      <c r="A11" s="3">
        <v>2210</v>
      </c>
      <c r="B11" s="3" t="s">
        <v>2</v>
      </c>
      <c r="C11" s="4"/>
      <c r="D11" s="4">
        <v>827.58</v>
      </c>
      <c r="E11" s="4">
        <f t="shared" si="2"/>
        <v>827.58</v>
      </c>
      <c r="F11" s="4"/>
      <c r="G11" s="4">
        <v>827.58</v>
      </c>
      <c r="H11" s="4">
        <f t="shared" si="3"/>
        <v>827.58</v>
      </c>
      <c r="I11" s="4"/>
      <c r="J11" s="4">
        <v>563.58000000000004</v>
      </c>
      <c r="K11" s="4">
        <f t="shared" si="4"/>
        <v>563.58000000000004</v>
      </c>
      <c r="L11" s="4"/>
      <c r="M11" s="4">
        <v>563.58000000000004</v>
      </c>
      <c r="N11" s="4">
        <f t="shared" si="5"/>
        <v>563.58000000000004</v>
      </c>
      <c r="O11" s="8"/>
      <c r="P11" s="3">
        <v>563.58000000000004</v>
      </c>
      <c r="Q11" s="4">
        <f t="shared" si="6"/>
        <v>563.58000000000004</v>
      </c>
      <c r="R11" s="3"/>
      <c r="S11" s="3">
        <v>374.82</v>
      </c>
      <c r="T11" s="4">
        <f t="shared" si="7"/>
        <v>374.82</v>
      </c>
      <c r="U11" s="3"/>
      <c r="V11" s="3"/>
      <c r="W11" s="4">
        <f t="shared" si="8"/>
        <v>0</v>
      </c>
      <c r="X11" s="3"/>
      <c r="Y11" s="3"/>
      <c r="Z11" s="4">
        <f t="shared" si="9"/>
        <v>0</v>
      </c>
      <c r="AA11" s="3"/>
      <c r="AB11" s="3">
        <v>1141.3399999999999</v>
      </c>
      <c r="AC11" s="4">
        <f t="shared" si="10"/>
        <v>1141.3399999999999</v>
      </c>
      <c r="AD11" s="3"/>
      <c r="AE11" s="4"/>
      <c r="AF11" s="4">
        <f t="shared" si="11"/>
        <v>0</v>
      </c>
      <c r="AG11" s="3"/>
      <c r="AH11" s="3"/>
      <c r="AI11" s="4">
        <f t="shared" si="12"/>
        <v>0</v>
      </c>
      <c r="AJ11" s="3"/>
      <c r="AK11" s="3"/>
      <c r="AL11" s="4">
        <f t="shared" si="13"/>
        <v>0</v>
      </c>
      <c r="AM11" s="4">
        <f t="shared" si="0"/>
        <v>0</v>
      </c>
      <c r="AN11" s="4">
        <f t="shared" si="1"/>
        <v>4862.0599999999995</v>
      </c>
      <c r="AO11" s="4">
        <f t="shared" si="1"/>
        <v>4862.0599999999995</v>
      </c>
    </row>
    <row r="12" spans="1:41" ht="20.100000000000001" customHeight="1">
      <c r="A12" s="3">
        <v>2220</v>
      </c>
      <c r="B12" s="3" t="s">
        <v>3</v>
      </c>
      <c r="C12" s="4"/>
      <c r="D12" s="4">
        <v>840</v>
      </c>
      <c r="E12" s="4">
        <f t="shared" si="2"/>
        <v>840</v>
      </c>
      <c r="F12" s="4"/>
      <c r="G12" s="4">
        <v>840</v>
      </c>
      <c r="H12" s="4">
        <f t="shared" si="3"/>
        <v>840</v>
      </c>
      <c r="I12" s="4"/>
      <c r="J12" s="4">
        <v>840</v>
      </c>
      <c r="K12" s="4">
        <f t="shared" si="4"/>
        <v>840</v>
      </c>
      <c r="L12" s="4"/>
      <c r="M12" s="4">
        <v>840</v>
      </c>
      <c r="N12" s="4">
        <f t="shared" si="5"/>
        <v>840</v>
      </c>
      <c r="O12" s="8"/>
      <c r="P12" s="3">
        <v>1296.1400000000001</v>
      </c>
      <c r="Q12" s="4">
        <f t="shared" si="6"/>
        <v>1296.1400000000001</v>
      </c>
      <c r="R12" s="3"/>
      <c r="S12" s="3">
        <v>840</v>
      </c>
      <c r="T12" s="4">
        <f t="shared" si="7"/>
        <v>840</v>
      </c>
      <c r="U12" s="3"/>
      <c r="V12" s="3"/>
      <c r="W12" s="4">
        <f t="shared" si="8"/>
        <v>0</v>
      </c>
      <c r="X12" s="3"/>
      <c r="Y12" s="3"/>
      <c r="Z12" s="4">
        <f t="shared" si="9"/>
        <v>0</v>
      </c>
      <c r="AA12" s="3"/>
      <c r="AB12" s="3">
        <v>405</v>
      </c>
      <c r="AC12" s="4">
        <f t="shared" si="10"/>
        <v>405</v>
      </c>
      <c r="AD12" s="3"/>
      <c r="AE12" s="3"/>
      <c r="AF12" s="4">
        <f t="shared" si="11"/>
        <v>0</v>
      </c>
      <c r="AG12" s="3"/>
      <c r="AH12" s="3"/>
      <c r="AI12" s="4">
        <f t="shared" si="12"/>
        <v>0</v>
      </c>
      <c r="AJ12" s="3"/>
      <c r="AK12" s="3"/>
      <c r="AL12" s="4">
        <f t="shared" si="13"/>
        <v>0</v>
      </c>
      <c r="AM12" s="4">
        <f t="shared" si="0"/>
        <v>0</v>
      </c>
      <c r="AN12" s="4">
        <f t="shared" si="1"/>
        <v>5901.14</v>
      </c>
      <c r="AO12" s="4">
        <f t="shared" si="1"/>
        <v>5901.14</v>
      </c>
    </row>
    <row r="13" spans="1:41" ht="20.100000000000001" customHeight="1">
      <c r="A13" s="3">
        <v>2230</v>
      </c>
      <c r="B13" s="3" t="s">
        <v>4</v>
      </c>
      <c r="C13" s="4"/>
      <c r="D13" s="4"/>
      <c r="E13" s="4">
        <f t="shared" si="2"/>
        <v>0</v>
      </c>
      <c r="F13" s="4"/>
      <c r="G13" s="4"/>
      <c r="H13" s="4">
        <f t="shared" si="3"/>
        <v>0</v>
      </c>
      <c r="I13" s="4"/>
      <c r="J13" s="4"/>
      <c r="K13" s="4">
        <f t="shared" si="4"/>
        <v>0</v>
      </c>
      <c r="L13" s="4"/>
      <c r="M13" s="4"/>
      <c r="N13" s="4">
        <f t="shared" si="5"/>
        <v>0</v>
      </c>
      <c r="O13" s="4"/>
      <c r="P13" s="3"/>
      <c r="Q13" s="4">
        <f t="shared" si="6"/>
        <v>0</v>
      </c>
      <c r="R13" s="3"/>
      <c r="S13" s="3"/>
      <c r="T13" s="4">
        <f t="shared" si="7"/>
        <v>0</v>
      </c>
      <c r="U13" s="3"/>
      <c r="V13" s="3"/>
      <c r="W13" s="4">
        <f t="shared" si="8"/>
        <v>0</v>
      </c>
      <c r="X13" s="3"/>
      <c r="Y13" s="3"/>
      <c r="Z13" s="4">
        <f t="shared" si="9"/>
        <v>0</v>
      </c>
      <c r="AA13" s="3"/>
      <c r="AB13" s="3"/>
      <c r="AC13" s="4">
        <f t="shared" si="10"/>
        <v>0</v>
      </c>
      <c r="AD13" s="3"/>
      <c r="AE13" s="3"/>
      <c r="AF13" s="4">
        <f t="shared" si="11"/>
        <v>0</v>
      </c>
      <c r="AG13" s="3"/>
      <c r="AH13" s="3"/>
      <c r="AI13" s="4">
        <f t="shared" si="12"/>
        <v>0</v>
      </c>
      <c r="AJ13" s="3"/>
      <c r="AK13" s="3"/>
      <c r="AL13" s="4">
        <f t="shared" si="13"/>
        <v>0</v>
      </c>
      <c r="AM13" s="4">
        <f t="shared" si="0"/>
        <v>0</v>
      </c>
      <c r="AN13" s="4">
        <f t="shared" si="1"/>
        <v>0</v>
      </c>
      <c r="AO13" s="4">
        <f t="shared" si="1"/>
        <v>0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2"/>
        <v>0</v>
      </c>
      <c r="F14" s="4"/>
      <c r="G14" s="4">
        <f>38999.47</f>
        <v>38999.47</v>
      </c>
      <c r="H14" s="4">
        <f t="shared" si="3"/>
        <v>38999.47</v>
      </c>
      <c r="I14" s="4"/>
      <c r="J14" s="4">
        <f>832.45+44775.45</f>
        <v>45607.899999999994</v>
      </c>
      <c r="K14" s="4">
        <f t="shared" si="4"/>
        <v>45607.899999999994</v>
      </c>
      <c r="L14" s="4"/>
      <c r="M14" s="4">
        <f>1582.45+85404.08</f>
        <v>86986.53</v>
      </c>
      <c r="N14" s="4">
        <f t="shared" si="5"/>
        <v>86986.53</v>
      </c>
      <c r="O14" s="4"/>
      <c r="P14" s="3">
        <f>832.45+50728.65</f>
        <v>51561.1</v>
      </c>
      <c r="Q14" s="4">
        <f t="shared" si="6"/>
        <v>51561.1</v>
      </c>
      <c r="R14" s="3"/>
      <c r="S14" s="3">
        <f>832.45+49419.15</f>
        <v>50251.6</v>
      </c>
      <c r="T14" s="4">
        <f t="shared" si="7"/>
        <v>50251.6</v>
      </c>
      <c r="U14" s="3"/>
      <c r="V14" s="3">
        <f>1457.45+12554.65</f>
        <v>14012.1</v>
      </c>
      <c r="W14" s="4">
        <f t="shared" si="8"/>
        <v>14012.1</v>
      </c>
      <c r="X14" s="3"/>
      <c r="Y14" s="4">
        <f>2232.45+20259.05</f>
        <v>22491.5</v>
      </c>
      <c r="Z14" s="4">
        <f t="shared" si="9"/>
        <v>22491.5</v>
      </c>
      <c r="AA14" s="3"/>
      <c r="AB14" s="3">
        <f>832.45+12118.95</f>
        <v>12951.400000000001</v>
      </c>
      <c r="AC14" s="4">
        <f t="shared" si="10"/>
        <v>12951.400000000001</v>
      </c>
      <c r="AD14" s="3"/>
      <c r="AE14" s="3"/>
      <c r="AF14" s="4">
        <f t="shared" si="11"/>
        <v>0</v>
      </c>
      <c r="AG14" s="3"/>
      <c r="AH14" s="4"/>
      <c r="AI14" s="4">
        <f t="shared" si="12"/>
        <v>0</v>
      </c>
      <c r="AJ14" s="3"/>
      <c r="AK14" s="3"/>
      <c r="AL14" s="4">
        <f t="shared" si="13"/>
        <v>0</v>
      </c>
      <c r="AM14" s="4">
        <f t="shared" si="0"/>
        <v>0</v>
      </c>
      <c r="AN14" s="4">
        <f t="shared" si="1"/>
        <v>322861.59999999998</v>
      </c>
      <c r="AO14" s="4">
        <f t="shared" si="1"/>
        <v>322861.59999999998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2"/>
        <v>0</v>
      </c>
      <c r="F15" s="4"/>
      <c r="G15" s="4"/>
      <c r="H15" s="4">
        <f t="shared" si="3"/>
        <v>0</v>
      </c>
      <c r="I15" s="4"/>
      <c r="J15" s="4"/>
      <c r="K15" s="4">
        <f t="shared" si="4"/>
        <v>0</v>
      </c>
      <c r="L15" s="4"/>
      <c r="M15" s="4"/>
      <c r="N15" s="4">
        <f t="shared" si="5"/>
        <v>0</v>
      </c>
      <c r="O15" s="8"/>
      <c r="P15" s="3"/>
      <c r="Q15" s="4">
        <f t="shared" si="6"/>
        <v>0</v>
      </c>
      <c r="R15" s="3"/>
      <c r="S15" s="3"/>
      <c r="T15" s="4">
        <f t="shared" si="7"/>
        <v>0</v>
      </c>
      <c r="U15" s="3"/>
      <c r="V15" s="3"/>
      <c r="W15" s="4">
        <f t="shared" si="8"/>
        <v>0</v>
      </c>
      <c r="X15" s="3"/>
      <c r="Y15" s="3"/>
      <c r="Z15" s="4">
        <f t="shared" si="9"/>
        <v>0</v>
      </c>
      <c r="AA15" s="3"/>
      <c r="AB15" s="4"/>
      <c r="AC15" s="4">
        <f t="shared" si="10"/>
        <v>0</v>
      </c>
      <c r="AD15" s="3"/>
      <c r="AE15" s="3"/>
      <c r="AF15" s="4">
        <f t="shared" si="11"/>
        <v>0</v>
      </c>
      <c r="AG15" s="3"/>
      <c r="AH15" s="3"/>
      <c r="AI15" s="4">
        <f t="shared" si="12"/>
        <v>0</v>
      </c>
      <c r="AJ15" s="3"/>
      <c r="AK15" s="3"/>
      <c r="AL15" s="4">
        <f t="shared" si="13"/>
        <v>0</v>
      </c>
      <c r="AM15" s="4">
        <f t="shared" si="0"/>
        <v>0</v>
      </c>
      <c r="AN15" s="4">
        <f t="shared" si="1"/>
        <v>0</v>
      </c>
      <c r="AO15" s="4">
        <f t="shared" si="1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2"/>
        <v>0</v>
      </c>
      <c r="F16" s="4"/>
      <c r="G16" s="4"/>
      <c r="H16" s="4">
        <f t="shared" si="3"/>
        <v>0</v>
      </c>
      <c r="I16" s="4"/>
      <c r="J16" s="4"/>
      <c r="K16" s="4">
        <f t="shared" si="4"/>
        <v>0</v>
      </c>
      <c r="L16" s="4"/>
      <c r="M16" s="4"/>
      <c r="N16" s="4">
        <f t="shared" si="5"/>
        <v>0</v>
      </c>
      <c r="O16" s="8"/>
      <c r="P16" s="3"/>
      <c r="Q16" s="4">
        <f t="shared" si="6"/>
        <v>0</v>
      </c>
      <c r="R16" s="3"/>
      <c r="S16" s="3"/>
      <c r="T16" s="4">
        <f t="shared" si="7"/>
        <v>0</v>
      </c>
      <c r="U16" s="3"/>
      <c r="V16" s="3"/>
      <c r="W16" s="4">
        <f t="shared" si="8"/>
        <v>0</v>
      </c>
      <c r="X16" s="3"/>
      <c r="Y16" s="3"/>
      <c r="Z16" s="4">
        <f t="shared" si="9"/>
        <v>0</v>
      </c>
      <c r="AA16" s="3"/>
      <c r="AB16" s="4"/>
      <c r="AC16" s="4">
        <f t="shared" si="10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0"/>
        <v>0</v>
      </c>
      <c r="AN16" s="4">
        <f t="shared" si="1"/>
        <v>0</v>
      </c>
      <c r="AO16" s="4">
        <f t="shared" si="1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2"/>
        <v>0</v>
      </c>
      <c r="F17" s="4"/>
      <c r="G17" s="4">
        <v>184158.84</v>
      </c>
      <c r="H17" s="4">
        <f t="shared" si="3"/>
        <v>184158.84</v>
      </c>
      <c r="I17" s="4"/>
      <c r="J17" s="4">
        <v>78253.25</v>
      </c>
      <c r="K17" s="4">
        <f t="shared" si="4"/>
        <v>78253.25</v>
      </c>
      <c r="L17" s="4"/>
      <c r="M17" s="4">
        <v>153619.47</v>
      </c>
      <c r="N17" s="4">
        <f t="shared" si="5"/>
        <v>153619.47</v>
      </c>
      <c r="O17" s="4"/>
      <c r="P17" s="3"/>
      <c r="Q17" s="4">
        <f t="shared" si="6"/>
        <v>0</v>
      </c>
      <c r="R17" s="3"/>
      <c r="S17" s="3"/>
      <c r="T17" s="4">
        <f t="shared" si="7"/>
        <v>0</v>
      </c>
      <c r="U17" s="3"/>
      <c r="V17" s="3"/>
      <c r="W17" s="4">
        <f t="shared" si="8"/>
        <v>0</v>
      </c>
      <c r="X17" s="3"/>
      <c r="Y17" s="3"/>
      <c r="Z17" s="4">
        <f t="shared" si="9"/>
        <v>0</v>
      </c>
      <c r="AA17" s="3"/>
      <c r="AB17" s="4"/>
      <c r="AC17" s="4">
        <f t="shared" si="10"/>
        <v>0</v>
      </c>
      <c r="AD17" s="3"/>
      <c r="AE17" s="3"/>
      <c r="AF17" s="4">
        <f t="shared" si="11"/>
        <v>0</v>
      </c>
      <c r="AG17" s="3"/>
      <c r="AH17" s="3"/>
      <c r="AI17" s="4">
        <f t="shared" si="12"/>
        <v>0</v>
      </c>
      <c r="AJ17" s="3"/>
      <c r="AK17" s="3"/>
      <c r="AL17" s="4">
        <f t="shared" si="13"/>
        <v>0</v>
      </c>
      <c r="AM17" s="4">
        <f t="shared" si="0"/>
        <v>0</v>
      </c>
      <c r="AN17" s="4">
        <f t="shared" si="1"/>
        <v>416031.56</v>
      </c>
      <c r="AO17" s="4">
        <f t="shared" si="1"/>
        <v>416031.56</v>
      </c>
    </row>
    <row r="18" spans="1:41" ht="20.100000000000001" customHeight="1">
      <c r="A18" s="3">
        <v>2272</v>
      </c>
      <c r="B18" s="3" t="s">
        <v>9</v>
      </c>
      <c r="C18" s="4"/>
      <c r="D18" s="4">
        <v>940.33</v>
      </c>
      <c r="E18" s="4">
        <f t="shared" si="2"/>
        <v>940.33</v>
      </c>
      <c r="F18" s="4"/>
      <c r="G18" s="4">
        <v>981.22</v>
      </c>
      <c r="H18" s="4">
        <f t="shared" si="3"/>
        <v>981.22</v>
      </c>
      <c r="I18" s="4"/>
      <c r="J18" s="4">
        <f>81.77+1267.4</f>
        <v>1349.17</v>
      </c>
      <c r="K18" s="4">
        <f t="shared" si="4"/>
        <v>1349.17</v>
      </c>
      <c r="L18" s="4"/>
      <c r="M18" s="4">
        <f>40.88+1226.52</f>
        <v>1267.4000000000001</v>
      </c>
      <c r="N18" s="4">
        <f t="shared" si="5"/>
        <v>1267.4000000000001</v>
      </c>
      <c r="O18" s="4"/>
      <c r="P18" s="3">
        <f>40.88+1390.06</f>
        <v>1430.94</v>
      </c>
      <c r="Q18" s="4">
        <f t="shared" si="6"/>
        <v>1430.94</v>
      </c>
      <c r="R18" s="3"/>
      <c r="S18" s="3">
        <v>877.67</v>
      </c>
      <c r="T18" s="4">
        <f t="shared" si="7"/>
        <v>877.67</v>
      </c>
      <c r="U18" s="3"/>
      <c r="V18" s="3">
        <f>45.66+228.3</f>
        <v>273.96000000000004</v>
      </c>
      <c r="W18" s="4">
        <f t="shared" si="8"/>
        <v>273.96000000000004</v>
      </c>
      <c r="X18" s="3"/>
      <c r="Y18" s="3">
        <f>45.66+365.28</f>
        <v>410.93999999999994</v>
      </c>
      <c r="Z18" s="4">
        <f t="shared" si="9"/>
        <v>410.93999999999994</v>
      </c>
      <c r="AA18" s="3"/>
      <c r="AB18" s="4">
        <f>136.98+1050.18</f>
        <v>1187.1600000000001</v>
      </c>
      <c r="AC18" s="4">
        <f t="shared" si="10"/>
        <v>1187.1600000000001</v>
      </c>
      <c r="AD18" s="3"/>
      <c r="AE18" s="4"/>
      <c r="AF18" s="4">
        <f t="shared" si="11"/>
        <v>0</v>
      </c>
      <c r="AG18" s="3"/>
      <c r="AH18" s="3"/>
      <c r="AI18" s="4">
        <f t="shared" si="12"/>
        <v>0</v>
      </c>
      <c r="AJ18" s="3"/>
      <c r="AK18" s="3"/>
      <c r="AL18" s="4">
        <f t="shared" si="13"/>
        <v>0</v>
      </c>
      <c r="AM18" s="4">
        <f t="shared" si="0"/>
        <v>0</v>
      </c>
      <c r="AN18" s="4">
        <f t="shared" si="1"/>
        <v>8718.7900000000009</v>
      </c>
      <c r="AO18" s="4">
        <f t="shared" si="1"/>
        <v>8718.7900000000009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2"/>
        <v>0</v>
      </c>
      <c r="F19" s="4"/>
      <c r="G19" s="4">
        <f>4073.46+13592.35</f>
        <v>17665.810000000001</v>
      </c>
      <c r="H19" s="4">
        <f t="shared" si="3"/>
        <v>17665.810000000001</v>
      </c>
      <c r="I19" s="4"/>
      <c r="J19" s="4">
        <f>6504.12+18250.86</f>
        <v>24754.98</v>
      </c>
      <c r="K19" s="4">
        <f t="shared" si="4"/>
        <v>24754.98</v>
      </c>
      <c r="L19" s="4"/>
      <c r="M19" s="4">
        <f>3971.89+18747.39</f>
        <v>22719.279999999999</v>
      </c>
      <c r="N19" s="4">
        <f t="shared" si="5"/>
        <v>22719.279999999999</v>
      </c>
      <c r="O19" s="4"/>
      <c r="P19" s="3">
        <f>738.55+20646.56</f>
        <v>21385.11</v>
      </c>
      <c r="Q19" s="4">
        <f t="shared" si="6"/>
        <v>21385.11</v>
      </c>
      <c r="R19" s="3"/>
      <c r="S19" s="3">
        <f>231.01+16631.27</f>
        <v>16862.28</v>
      </c>
      <c r="T19" s="4">
        <f t="shared" si="7"/>
        <v>16862.28</v>
      </c>
      <c r="U19" s="3"/>
      <c r="V19" s="3">
        <f>205.79+4711.42</f>
        <v>4917.21</v>
      </c>
      <c r="W19" s="4">
        <f t="shared" si="8"/>
        <v>4917.21</v>
      </c>
      <c r="X19" s="3"/>
      <c r="Y19" s="3">
        <f>223.19+2464.42</f>
        <v>2687.61</v>
      </c>
      <c r="Z19" s="4">
        <f t="shared" si="9"/>
        <v>2687.61</v>
      </c>
      <c r="AA19" s="3"/>
      <c r="AB19" s="4">
        <f>232.1+3562.75</f>
        <v>3794.85</v>
      </c>
      <c r="AC19" s="4">
        <f t="shared" si="10"/>
        <v>3794.85</v>
      </c>
      <c r="AD19" s="3"/>
      <c r="AE19" s="3"/>
      <c r="AF19" s="4">
        <f t="shared" si="11"/>
        <v>0</v>
      </c>
      <c r="AG19" s="3"/>
      <c r="AH19" s="4"/>
      <c r="AI19" s="4">
        <f t="shared" si="12"/>
        <v>0</v>
      </c>
      <c r="AJ19" s="3"/>
      <c r="AK19" s="3"/>
      <c r="AL19" s="4">
        <f t="shared" si="13"/>
        <v>0</v>
      </c>
      <c r="AM19" s="4">
        <f t="shared" si="0"/>
        <v>0</v>
      </c>
      <c r="AN19" s="4">
        <f t="shared" si="1"/>
        <v>114787.12999999999</v>
      </c>
      <c r="AO19" s="4">
        <f t="shared" si="1"/>
        <v>114787.12999999999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2"/>
        <v>0</v>
      </c>
      <c r="F20" s="4"/>
      <c r="G20" s="4"/>
      <c r="H20" s="4">
        <f t="shared" si="3"/>
        <v>0</v>
      </c>
      <c r="I20" s="4"/>
      <c r="J20" s="4"/>
      <c r="K20" s="4">
        <f t="shared" si="4"/>
        <v>0</v>
      </c>
      <c r="L20" s="4"/>
      <c r="M20" s="4"/>
      <c r="N20" s="4">
        <f t="shared" si="5"/>
        <v>0</v>
      </c>
      <c r="O20" s="4"/>
      <c r="P20" s="3"/>
      <c r="Q20" s="4">
        <f t="shared" si="6"/>
        <v>0</v>
      </c>
      <c r="R20" s="3"/>
      <c r="S20" s="3"/>
      <c r="T20" s="4">
        <f t="shared" si="7"/>
        <v>0</v>
      </c>
      <c r="U20" s="3"/>
      <c r="V20" s="3"/>
      <c r="W20" s="4">
        <f t="shared" si="8"/>
        <v>0</v>
      </c>
      <c r="X20" s="3"/>
      <c r="Y20" s="3"/>
      <c r="Z20" s="4">
        <f t="shared" si="9"/>
        <v>0</v>
      </c>
      <c r="AA20" s="3"/>
      <c r="AB20" s="4"/>
      <c r="AC20" s="4">
        <f t="shared" si="10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3"/>
      <c r="AL20" s="4">
        <f t="shared" si="13"/>
        <v>0</v>
      </c>
      <c r="AM20" s="4">
        <f t="shared" si="0"/>
        <v>0</v>
      </c>
      <c r="AN20" s="4">
        <f t="shared" si="1"/>
        <v>0</v>
      </c>
      <c r="AO20" s="4">
        <f t="shared" si="1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2988.08</v>
      </c>
      <c r="E21" s="4">
        <f t="shared" si="2"/>
        <v>2988.08</v>
      </c>
      <c r="F21" s="4"/>
      <c r="G21" s="4">
        <v>2219.56</v>
      </c>
      <c r="H21" s="4">
        <f t="shared" si="3"/>
        <v>2219.56</v>
      </c>
      <c r="I21" s="4"/>
      <c r="J21" s="4">
        <v>442.43</v>
      </c>
      <c r="K21" s="4">
        <f t="shared" si="4"/>
        <v>442.43</v>
      </c>
      <c r="L21" s="4"/>
      <c r="M21" s="4">
        <v>535.95000000000005</v>
      </c>
      <c r="N21" s="4">
        <f t="shared" si="5"/>
        <v>535.95000000000005</v>
      </c>
      <c r="O21" s="4"/>
      <c r="P21" s="3">
        <v>892.21</v>
      </c>
      <c r="Q21" s="4">
        <f t="shared" si="6"/>
        <v>892.21</v>
      </c>
      <c r="R21" s="3"/>
      <c r="S21" s="3">
        <v>893.25</v>
      </c>
      <c r="T21" s="4">
        <f t="shared" si="7"/>
        <v>893.25</v>
      </c>
      <c r="U21" s="3"/>
      <c r="V21" s="3">
        <v>535.95000000000005</v>
      </c>
      <c r="W21" s="4">
        <f t="shared" si="8"/>
        <v>535.95000000000005</v>
      </c>
      <c r="X21" s="3"/>
      <c r="Y21" s="3">
        <v>1041.3</v>
      </c>
      <c r="Z21" s="4">
        <f t="shared" si="9"/>
        <v>1041.3</v>
      </c>
      <c r="AA21" s="3"/>
      <c r="AB21" s="3">
        <f>9570+866.11</f>
        <v>10436.11</v>
      </c>
      <c r="AC21" s="4">
        <f t="shared" si="10"/>
        <v>10436.11</v>
      </c>
      <c r="AD21" s="3"/>
      <c r="AE21" s="4"/>
      <c r="AF21" s="4">
        <f t="shared" si="11"/>
        <v>0</v>
      </c>
      <c r="AG21" s="3"/>
      <c r="AH21" s="3"/>
      <c r="AI21" s="4">
        <f t="shared" si="12"/>
        <v>0</v>
      </c>
      <c r="AJ21" s="3"/>
      <c r="AK21" s="3"/>
      <c r="AL21" s="4">
        <f t="shared" si="13"/>
        <v>0</v>
      </c>
      <c r="AM21" s="4">
        <f t="shared" si="0"/>
        <v>0</v>
      </c>
      <c r="AN21" s="4">
        <f t="shared" si="1"/>
        <v>19984.840000000004</v>
      </c>
      <c r="AO21" s="4">
        <f t="shared" si="1"/>
        <v>19984.840000000004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2"/>
        <v>0</v>
      </c>
      <c r="F22" s="4"/>
      <c r="G22" s="4"/>
      <c r="H22" s="4">
        <f t="shared" si="3"/>
        <v>0</v>
      </c>
      <c r="I22" s="4"/>
      <c r="J22" s="4"/>
      <c r="K22" s="4">
        <f t="shared" si="4"/>
        <v>0</v>
      </c>
      <c r="L22" s="4"/>
      <c r="M22" s="4"/>
      <c r="N22" s="4">
        <f t="shared" si="5"/>
        <v>0</v>
      </c>
      <c r="O22" s="8"/>
      <c r="P22" s="3"/>
      <c r="Q22" s="4">
        <f t="shared" si="6"/>
        <v>0</v>
      </c>
      <c r="R22" s="3"/>
      <c r="S22" s="3">
        <v>600</v>
      </c>
      <c r="T22" s="4">
        <f t="shared" si="7"/>
        <v>600</v>
      </c>
      <c r="U22" s="3"/>
      <c r="V22" s="3"/>
      <c r="W22" s="4">
        <f t="shared" si="8"/>
        <v>0</v>
      </c>
      <c r="X22" s="3"/>
      <c r="Y22" s="3">
        <v>320</v>
      </c>
      <c r="Z22" s="4">
        <f t="shared" si="9"/>
        <v>320</v>
      </c>
      <c r="AA22" s="3"/>
      <c r="AB22" s="4"/>
      <c r="AC22" s="4">
        <f t="shared" si="10"/>
        <v>0</v>
      </c>
      <c r="AD22" s="3"/>
      <c r="AE22" s="3"/>
      <c r="AF22" s="4">
        <f t="shared" si="11"/>
        <v>0</v>
      </c>
      <c r="AG22" s="3"/>
      <c r="AH22" s="3"/>
      <c r="AI22" s="4">
        <f t="shared" si="12"/>
        <v>0</v>
      </c>
      <c r="AJ22" s="3"/>
      <c r="AK22" s="3"/>
      <c r="AL22" s="4">
        <f t="shared" si="13"/>
        <v>0</v>
      </c>
      <c r="AM22" s="4">
        <f t="shared" si="0"/>
        <v>0</v>
      </c>
      <c r="AN22" s="4">
        <f t="shared" si="1"/>
        <v>920</v>
      </c>
      <c r="AO22" s="4">
        <f t="shared" si="1"/>
        <v>920</v>
      </c>
    </row>
    <row r="23" spans="1:41" ht="29.25" customHeight="1">
      <c r="A23" s="6">
        <v>2700</v>
      </c>
      <c r="B23" s="6" t="s">
        <v>14</v>
      </c>
      <c r="C23" s="4"/>
      <c r="D23" s="4"/>
      <c r="E23" s="4">
        <f t="shared" si="2"/>
        <v>0</v>
      </c>
      <c r="F23" s="4"/>
      <c r="G23" s="4"/>
      <c r="H23" s="4">
        <f t="shared" si="3"/>
        <v>0</v>
      </c>
      <c r="I23" s="4"/>
      <c r="J23" s="4"/>
      <c r="K23" s="4">
        <f t="shared" si="4"/>
        <v>0</v>
      </c>
      <c r="L23" s="4"/>
      <c r="M23" s="4"/>
      <c r="N23" s="4">
        <f t="shared" si="5"/>
        <v>0</v>
      </c>
      <c r="O23" s="4"/>
      <c r="P23" s="4"/>
      <c r="Q23" s="4">
        <f t="shared" si="6"/>
        <v>0</v>
      </c>
      <c r="R23" s="4"/>
      <c r="S23" s="4"/>
      <c r="T23" s="4">
        <f t="shared" si="7"/>
        <v>0</v>
      </c>
      <c r="U23" s="4"/>
      <c r="V23" s="4"/>
      <c r="W23" s="4">
        <f t="shared" si="8"/>
        <v>0</v>
      </c>
      <c r="X23" s="4"/>
      <c r="Y23" s="4"/>
      <c r="Z23" s="4">
        <f t="shared" si="9"/>
        <v>0</v>
      </c>
      <c r="AA23" s="4"/>
      <c r="AB23" s="4"/>
      <c r="AC23" s="4">
        <f t="shared" si="10"/>
        <v>0</v>
      </c>
      <c r="AD23" s="4"/>
      <c r="AE23" s="4"/>
      <c r="AF23" s="4">
        <f t="shared" ref="AF23" si="14">AE23+AD23</f>
        <v>0</v>
      </c>
      <c r="AG23" s="4"/>
      <c r="AH23" s="4"/>
      <c r="AI23" s="4">
        <f t="shared" si="12"/>
        <v>0</v>
      </c>
      <c r="AJ23" s="4"/>
      <c r="AK23" s="4"/>
      <c r="AL23" s="4">
        <f t="shared" ref="AL23" si="15">AK23+AJ23</f>
        <v>0</v>
      </c>
      <c r="AM23" s="4">
        <f t="shared" ref="AM23" si="16">AL23+AK23</f>
        <v>0</v>
      </c>
      <c r="AN23" s="4">
        <f t="shared" si="1"/>
        <v>0</v>
      </c>
      <c r="AO23" s="4">
        <f t="shared" si="1"/>
        <v>0</v>
      </c>
    </row>
    <row r="24" spans="1:41" ht="20.100000000000001" customHeight="1">
      <c r="A24" s="3">
        <v>2800</v>
      </c>
      <c r="B24" s="3" t="s">
        <v>44</v>
      </c>
      <c r="C24" s="4"/>
      <c r="D24" s="4"/>
      <c r="E24" s="4">
        <f t="shared" si="2"/>
        <v>0</v>
      </c>
      <c r="F24" s="4"/>
      <c r="G24" s="4"/>
      <c r="H24" s="4">
        <f t="shared" si="3"/>
        <v>0</v>
      </c>
      <c r="I24" s="4"/>
      <c r="J24" s="4"/>
      <c r="K24" s="4">
        <f t="shared" si="4"/>
        <v>0</v>
      </c>
      <c r="L24" s="4"/>
      <c r="M24" s="4"/>
      <c r="N24" s="4">
        <f t="shared" si="5"/>
        <v>0</v>
      </c>
      <c r="O24" s="8"/>
      <c r="P24" s="3"/>
      <c r="Q24" s="4">
        <f t="shared" si="6"/>
        <v>0</v>
      </c>
      <c r="R24" s="3"/>
      <c r="S24" s="3"/>
      <c r="T24" s="4">
        <f t="shared" si="7"/>
        <v>0</v>
      </c>
      <c r="U24" s="3"/>
      <c r="V24" s="3"/>
      <c r="W24" s="4">
        <f t="shared" si="8"/>
        <v>0</v>
      </c>
      <c r="X24" s="3"/>
      <c r="Y24" s="3"/>
      <c r="Z24" s="4">
        <f t="shared" si="9"/>
        <v>0</v>
      </c>
      <c r="AA24" s="3"/>
      <c r="AB24" s="4"/>
      <c r="AC24" s="4">
        <f t="shared" si="10"/>
        <v>0</v>
      </c>
      <c r="AD24" s="3"/>
      <c r="AE24" s="3"/>
      <c r="AF24" s="4">
        <f t="shared" si="11"/>
        <v>0</v>
      </c>
      <c r="AG24" s="3"/>
      <c r="AH24" s="3"/>
      <c r="AI24" s="4">
        <f t="shared" si="12"/>
        <v>0</v>
      </c>
      <c r="AJ24" s="3"/>
      <c r="AK24" s="3"/>
      <c r="AL24" s="4">
        <f t="shared" si="13"/>
        <v>0</v>
      </c>
      <c r="AM24" s="4">
        <f t="shared" si="0"/>
        <v>0</v>
      </c>
      <c r="AN24" s="4">
        <f t="shared" si="1"/>
        <v>0</v>
      </c>
      <c r="AO24" s="4">
        <f t="shared" si="1"/>
        <v>0</v>
      </c>
    </row>
    <row r="25" spans="1:41" ht="30" customHeight="1">
      <c r="A25" s="3">
        <v>3110</v>
      </c>
      <c r="B25" s="5" t="s">
        <v>15</v>
      </c>
      <c r="C25" s="4"/>
      <c r="D25" s="4"/>
      <c r="E25" s="4">
        <f t="shared" si="2"/>
        <v>0</v>
      </c>
      <c r="F25" s="4"/>
      <c r="G25" s="4"/>
      <c r="H25" s="4">
        <f t="shared" si="3"/>
        <v>0</v>
      </c>
      <c r="I25" s="4"/>
      <c r="J25" s="4"/>
      <c r="K25" s="4">
        <f t="shared" si="4"/>
        <v>0</v>
      </c>
      <c r="L25" s="4"/>
      <c r="M25" s="4"/>
      <c r="N25" s="4">
        <f t="shared" si="5"/>
        <v>0</v>
      </c>
      <c r="O25" s="8"/>
      <c r="P25" s="3"/>
      <c r="Q25" s="4">
        <f t="shared" si="6"/>
        <v>0</v>
      </c>
      <c r="R25" s="3"/>
      <c r="S25" s="3"/>
      <c r="T25" s="4">
        <f t="shared" si="7"/>
        <v>0</v>
      </c>
      <c r="U25" s="3"/>
      <c r="V25" s="3"/>
      <c r="W25" s="4">
        <f t="shared" si="8"/>
        <v>0</v>
      </c>
      <c r="X25" s="3"/>
      <c r="Y25" s="3"/>
      <c r="Z25" s="4">
        <f t="shared" si="9"/>
        <v>0</v>
      </c>
      <c r="AA25" s="3"/>
      <c r="AB25" s="4"/>
      <c r="AC25" s="4">
        <f t="shared" si="10"/>
        <v>0</v>
      </c>
      <c r="AD25" s="3"/>
      <c r="AE25" s="3"/>
      <c r="AF25" s="4">
        <f t="shared" si="11"/>
        <v>0</v>
      </c>
      <c r="AG25" s="3"/>
      <c r="AH25" s="3"/>
      <c r="AI25" s="4">
        <f t="shared" si="12"/>
        <v>0</v>
      </c>
      <c r="AJ25" s="3"/>
      <c r="AK25" s="3"/>
      <c r="AL25" s="4">
        <f t="shared" si="13"/>
        <v>0</v>
      </c>
      <c r="AM25" s="4">
        <f t="shared" si="0"/>
        <v>0</v>
      </c>
      <c r="AN25" s="4">
        <f t="shared" si="1"/>
        <v>0</v>
      </c>
      <c r="AO25" s="4">
        <f t="shared" si="1"/>
        <v>0</v>
      </c>
    </row>
    <row r="26" spans="1:41" ht="34.5" customHeight="1">
      <c r="A26" s="3">
        <v>3132</v>
      </c>
      <c r="B26" s="3" t="s">
        <v>16</v>
      </c>
      <c r="C26" s="4"/>
      <c r="D26" s="4"/>
      <c r="E26" s="4">
        <f t="shared" si="2"/>
        <v>0</v>
      </c>
      <c r="F26" s="4"/>
      <c r="G26" s="4"/>
      <c r="H26" s="4">
        <f t="shared" si="3"/>
        <v>0</v>
      </c>
      <c r="I26" s="4"/>
      <c r="J26" s="4"/>
      <c r="K26" s="4">
        <f t="shared" si="4"/>
        <v>0</v>
      </c>
      <c r="L26" s="4"/>
      <c r="M26" s="4"/>
      <c r="N26" s="4">
        <f t="shared" si="5"/>
        <v>0</v>
      </c>
      <c r="O26" s="8"/>
      <c r="P26" s="3"/>
      <c r="Q26" s="4">
        <f t="shared" si="6"/>
        <v>0</v>
      </c>
      <c r="R26" s="3"/>
      <c r="S26" s="3"/>
      <c r="T26" s="4">
        <f t="shared" si="7"/>
        <v>0</v>
      </c>
      <c r="U26" s="3"/>
      <c r="V26" s="3"/>
      <c r="W26" s="4">
        <f t="shared" si="8"/>
        <v>0</v>
      </c>
      <c r="X26" s="3"/>
      <c r="Y26" s="3"/>
      <c r="Z26" s="4">
        <f t="shared" si="9"/>
        <v>0</v>
      </c>
      <c r="AA26" s="3"/>
      <c r="AB26" s="4"/>
      <c r="AC26" s="4">
        <f t="shared" si="10"/>
        <v>0</v>
      </c>
      <c r="AD26" s="3"/>
      <c r="AE26" s="3"/>
      <c r="AF26" s="4">
        <f t="shared" si="11"/>
        <v>0</v>
      </c>
      <c r="AG26" s="3"/>
      <c r="AH26" s="3"/>
      <c r="AI26" s="4">
        <f t="shared" si="12"/>
        <v>0</v>
      </c>
      <c r="AJ26" s="3"/>
      <c r="AK26" s="3"/>
      <c r="AL26" s="4">
        <f t="shared" si="13"/>
        <v>0</v>
      </c>
      <c r="AM26" s="4">
        <f t="shared" si="0"/>
        <v>0</v>
      </c>
      <c r="AN26" s="4">
        <f t="shared" si="1"/>
        <v>0</v>
      </c>
      <c r="AO26" s="4">
        <f t="shared" si="1"/>
        <v>0</v>
      </c>
    </row>
    <row r="27" spans="1:41" ht="20.100000000000001" customHeight="1">
      <c r="A27" s="6"/>
      <c r="B27" s="5"/>
      <c r="C27" s="4"/>
      <c r="D27" s="4"/>
      <c r="E27" s="4">
        <f t="shared" si="2"/>
        <v>0</v>
      </c>
      <c r="F27" s="4"/>
      <c r="G27" s="4"/>
      <c r="H27" s="4">
        <f t="shared" si="3"/>
        <v>0</v>
      </c>
      <c r="I27" s="4"/>
      <c r="J27" s="4"/>
      <c r="K27" s="4">
        <f t="shared" si="4"/>
        <v>0</v>
      </c>
      <c r="L27" s="4"/>
      <c r="M27" s="4"/>
      <c r="N27" s="4">
        <f t="shared" si="5"/>
        <v>0</v>
      </c>
      <c r="O27" s="8"/>
      <c r="P27" s="3"/>
      <c r="Q27" s="4">
        <f t="shared" si="6"/>
        <v>0</v>
      </c>
      <c r="R27" s="3"/>
      <c r="S27" s="3"/>
      <c r="T27" s="4">
        <f t="shared" si="7"/>
        <v>0</v>
      </c>
      <c r="U27" s="3"/>
      <c r="V27" s="3"/>
      <c r="W27" s="4">
        <f t="shared" si="8"/>
        <v>0</v>
      </c>
      <c r="X27" s="3"/>
      <c r="Y27" s="3"/>
      <c r="Z27" s="4">
        <f t="shared" si="9"/>
        <v>0</v>
      </c>
      <c r="AA27" s="3"/>
      <c r="AB27" s="4"/>
      <c r="AC27" s="4">
        <f t="shared" si="10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0"/>
        <v>0</v>
      </c>
      <c r="AN27" s="4">
        <f>AK27+AH27+AE27+AB27+Y27+V27+S27+P27+M27+J27+G27+D27</f>
        <v>0</v>
      </c>
      <c r="AO27" s="4">
        <f>AL27+AI27+AF27+AC27+Z27+W27+T27+Q27+N27+K27+H27+E27</f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2"/>
        <v>0</v>
      </c>
      <c r="F28" s="4"/>
      <c r="G28" s="4"/>
      <c r="H28" s="4">
        <f t="shared" si="3"/>
        <v>0</v>
      </c>
      <c r="I28" s="4"/>
      <c r="J28" s="4"/>
      <c r="K28" s="4">
        <f t="shared" si="4"/>
        <v>0</v>
      </c>
      <c r="L28" s="4"/>
      <c r="M28" s="4"/>
      <c r="N28" s="4">
        <f t="shared" si="5"/>
        <v>0</v>
      </c>
      <c r="O28" s="8"/>
      <c r="P28" s="3"/>
      <c r="Q28" s="4">
        <f t="shared" si="6"/>
        <v>0</v>
      </c>
      <c r="R28" s="3"/>
      <c r="S28" s="3"/>
      <c r="T28" s="4">
        <f t="shared" si="7"/>
        <v>0</v>
      </c>
      <c r="U28" s="3"/>
      <c r="V28" s="3"/>
      <c r="W28" s="4">
        <f t="shared" si="8"/>
        <v>0</v>
      </c>
      <c r="X28" s="3"/>
      <c r="Y28" s="3"/>
      <c r="Z28" s="4">
        <f t="shared" si="9"/>
        <v>0</v>
      </c>
      <c r="AA28" s="3"/>
      <c r="AB28" s="4"/>
      <c r="AC28" s="4">
        <f t="shared" si="10"/>
        <v>0</v>
      </c>
      <c r="AD28" s="3"/>
      <c r="AE28" s="3"/>
      <c r="AF28" s="4">
        <f t="shared" si="11"/>
        <v>0</v>
      </c>
      <c r="AG28" s="3"/>
      <c r="AH28" s="3"/>
      <c r="AI28" s="4">
        <f t="shared" si="12"/>
        <v>0</v>
      </c>
      <c r="AJ28" s="3"/>
      <c r="AK28" s="3"/>
      <c r="AL28" s="4">
        <f t="shared" si="13"/>
        <v>0</v>
      </c>
      <c r="AM28" s="4">
        <f t="shared" si="0"/>
        <v>0</v>
      </c>
      <c r="AN28" s="4">
        <f t="shared" ref="AN28:AN29" si="17">AK28+AH28+AE28+AB28+Y28+V28+S28+P28+M28+J28+G28+D28</f>
        <v>0</v>
      </c>
      <c r="AO28" s="4">
        <f t="shared" ref="AO28:AO29" si="18">AL28+AI28+AF28+AC28+Z28+W28+T28+Q28+N28+K28+H28+E28</f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2"/>
        <v>0</v>
      </c>
      <c r="F29" s="4"/>
      <c r="G29" s="4">
        <v>1516</v>
      </c>
      <c r="H29" s="4">
        <f t="shared" si="3"/>
        <v>1516</v>
      </c>
      <c r="I29" s="4"/>
      <c r="J29" s="4">
        <v>1516</v>
      </c>
      <c r="K29" s="4">
        <f t="shared" si="4"/>
        <v>1516</v>
      </c>
      <c r="L29" s="4"/>
      <c r="M29" s="4">
        <v>2266</v>
      </c>
      <c r="N29" s="4">
        <f t="shared" si="5"/>
        <v>2266</v>
      </c>
      <c r="O29" s="8"/>
      <c r="P29" s="3">
        <v>1516</v>
      </c>
      <c r="Q29" s="4">
        <f t="shared" si="6"/>
        <v>1516</v>
      </c>
      <c r="R29" s="3"/>
      <c r="S29" s="3">
        <v>1516</v>
      </c>
      <c r="T29" s="4">
        <f t="shared" si="7"/>
        <v>1516</v>
      </c>
      <c r="U29" s="3"/>
      <c r="V29" s="3">
        <v>2266</v>
      </c>
      <c r="W29" s="4">
        <f t="shared" si="8"/>
        <v>2266</v>
      </c>
      <c r="X29" s="3"/>
      <c r="Y29" s="3">
        <v>1516</v>
      </c>
      <c r="Z29" s="4">
        <f t="shared" si="9"/>
        <v>1516</v>
      </c>
      <c r="AA29" s="3"/>
      <c r="AB29" s="4">
        <v>1516</v>
      </c>
      <c r="AC29" s="4">
        <f t="shared" si="10"/>
        <v>1516</v>
      </c>
      <c r="AD29" s="3"/>
      <c r="AE29" s="3"/>
      <c r="AF29" s="4">
        <f t="shared" si="11"/>
        <v>0</v>
      </c>
      <c r="AG29" s="3"/>
      <c r="AH29" s="3"/>
      <c r="AI29" s="4">
        <f t="shared" si="12"/>
        <v>0</v>
      </c>
      <c r="AJ29" s="3"/>
      <c r="AK29" s="3"/>
      <c r="AL29" s="4">
        <f t="shared" si="13"/>
        <v>0</v>
      </c>
      <c r="AM29" s="4">
        <f t="shared" si="0"/>
        <v>0</v>
      </c>
      <c r="AN29" s="4">
        <f t="shared" si="17"/>
        <v>13628</v>
      </c>
      <c r="AO29" s="4">
        <f t="shared" si="18"/>
        <v>13628</v>
      </c>
    </row>
    <row r="30" spans="1:41" ht="33.75" customHeight="1">
      <c r="A30" s="7"/>
      <c r="B30" s="7" t="s">
        <v>30</v>
      </c>
      <c r="C30" s="8">
        <f>SUM(C9:C27)</f>
        <v>0</v>
      </c>
      <c r="D30" s="8">
        <f t="shared" ref="D30:AO30" si="19">SUM(D9:D27)</f>
        <v>266551.16000000003</v>
      </c>
      <c r="E30" s="8">
        <f t="shared" si="19"/>
        <v>266551.16000000003</v>
      </c>
      <c r="F30" s="8">
        <f t="shared" si="19"/>
        <v>0</v>
      </c>
      <c r="G30" s="8">
        <f>SUM(G9:G29)</f>
        <v>499654.87</v>
      </c>
      <c r="H30" s="8">
        <f>SUM(H9:H29)</f>
        <v>499654.87</v>
      </c>
      <c r="I30" s="8">
        <f t="shared" si="19"/>
        <v>0</v>
      </c>
      <c r="J30" s="8">
        <f t="shared" si="19"/>
        <v>403348.82999999996</v>
      </c>
      <c r="K30" s="8">
        <f>J30+I30</f>
        <v>403348.82999999996</v>
      </c>
      <c r="L30" s="8">
        <f t="shared" si="19"/>
        <v>0</v>
      </c>
      <c r="M30" s="8">
        <f t="shared" si="19"/>
        <v>530717.30999999994</v>
      </c>
      <c r="N30" s="8">
        <f t="shared" si="5"/>
        <v>530717.30999999994</v>
      </c>
      <c r="O30" s="8">
        <f t="shared" si="19"/>
        <v>0</v>
      </c>
      <c r="P30" s="8">
        <f t="shared" si="19"/>
        <v>354223.03</v>
      </c>
      <c r="Q30" s="8">
        <f>P30+O30</f>
        <v>354223.03</v>
      </c>
      <c r="R30" s="8">
        <f t="shared" si="19"/>
        <v>0</v>
      </c>
      <c r="S30" s="8">
        <f t="shared" si="19"/>
        <v>448154.33999999997</v>
      </c>
      <c r="T30" s="8">
        <f>S30+R30</f>
        <v>448154.33999999997</v>
      </c>
      <c r="U30" s="8">
        <f t="shared" si="19"/>
        <v>0</v>
      </c>
      <c r="V30" s="8">
        <f t="shared" si="19"/>
        <v>185372.93000000002</v>
      </c>
      <c r="W30" s="8">
        <f>V30+U30</f>
        <v>185372.93000000002</v>
      </c>
      <c r="X30" s="8">
        <f t="shared" si="19"/>
        <v>0</v>
      </c>
      <c r="Y30" s="8">
        <f t="shared" si="19"/>
        <v>236163.00999999998</v>
      </c>
      <c r="Z30" s="8">
        <f t="shared" si="9"/>
        <v>236163.00999999998</v>
      </c>
      <c r="AA30" s="8">
        <f t="shared" si="19"/>
        <v>0</v>
      </c>
      <c r="AB30" s="8">
        <f t="shared" si="19"/>
        <v>332186.28999999998</v>
      </c>
      <c r="AC30" s="8">
        <f>AB30+AA30</f>
        <v>332186.28999999998</v>
      </c>
      <c r="AD30" s="8">
        <f t="shared" si="19"/>
        <v>0</v>
      </c>
      <c r="AE30" s="8">
        <f t="shared" si="19"/>
        <v>0</v>
      </c>
      <c r="AF30" s="8">
        <f>AE30+AD30</f>
        <v>0</v>
      </c>
      <c r="AG30" s="8">
        <f t="shared" si="19"/>
        <v>0</v>
      </c>
      <c r="AH30" s="8">
        <f t="shared" si="19"/>
        <v>0</v>
      </c>
      <c r="AI30" s="8">
        <f>AH30+AG30</f>
        <v>0</v>
      </c>
      <c r="AJ30" s="8">
        <f t="shared" si="19"/>
        <v>0</v>
      </c>
      <c r="AK30" s="8">
        <f t="shared" si="19"/>
        <v>0</v>
      </c>
      <c r="AL30" s="8">
        <f>AK30+AJ30</f>
        <v>0</v>
      </c>
      <c r="AM30" s="8">
        <f t="shared" si="19"/>
        <v>0</v>
      </c>
      <c r="AN30" s="8">
        <f t="shared" si="19"/>
        <v>3254855.77</v>
      </c>
      <c r="AO30" s="8">
        <f t="shared" si="19"/>
        <v>3254855.77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P9" activePane="bottomRight" state="frozen"/>
      <selection pane="topRight" activeCell="C1" sqref="C1"/>
      <selection pane="bottomLeft" activeCell="A10" sqref="A10"/>
      <selection pane="bottomRight" activeCell="AA16" sqref="AA16"/>
    </sheetView>
  </sheetViews>
  <sheetFormatPr defaultRowHeight="14.4"/>
  <cols>
    <col min="1" max="1" width="5.88671875" customWidth="1"/>
    <col min="2" max="2" width="42.88671875" customWidth="1"/>
    <col min="3" max="4" width="11.88671875" customWidth="1"/>
    <col min="5" max="5" width="10.6640625" customWidth="1"/>
    <col min="6" max="6" width="11.6640625" customWidth="1"/>
    <col min="7" max="7" width="10.88671875" customWidth="1"/>
    <col min="8" max="8" width="11.6640625" customWidth="1"/>
    <col min="9" max="9" width="11.109375" customWidth="1"/>
    <col min="10" max="10" width="11.6640625" customWidth="1"/>
    <col min="11" max="11" width="10.44140625" customWidth="1"/>
    <col min="12" max="12" width="12.44140625" customWidth="1"/>
    <col min="13" max="14" width="10.6640625" customWidth="1"/>
    <col min="15" max="15" width="11.5546875" customWidth="1"/>
    <col min="16" max="16" width="11.44140625" customWidth="1"/>
    <col min="17" max="17" width="11.33203125" customWidth="1"/>
    <col min="18" max="18" width="11.44140625" customWidth="1"/>
    <col min="19" max="19" width="10.6640625" customWidth="1"/>
    <col min="20" max="20" width="10.44140625" customWidth="1"/>
    <col min="21" max="21" width="11.88671875" customWidth="1"/>
    <col min="22" max="22" width="10.88671875" customWidth="1"/>
    <col min="23" max="23" width="11" customWidth="1"/>
    <col min="24" max="24" width="11.44140625" customWidth="1"/>
    <col min="25" max="25" width="10.44140625" customWidth="1"/>
    <col min="26" max="26" width="10.88671875" customWidth="1"/>
    <col min="27" max="27" width="11.44140625" customWidth="1"/>
    <col min="28" max="28" width="10.6640625" customWidth="1"/>
    <col min="29" max="29" width="11.88671875" customWidth="1"/>
    <col min="30" max="30" width="11.44140625" customWidth="1"/>
    <col min="31" max="31" width="11.33203125" customWidth="1"/>
    <col min="32" max="32" width="10.5546875" customWidth="1"/>
    <col min="33" max="33" width="11.33203125" customWidth="1"/>
    <col min="34" max="34" width="11.109375" customWidth="1"/>
    <col min="35" max="35" width="10.6640625" customWidth="1"/>
    <col min="36" max="36" width="11.88671875" customWidth="1"/>
    <col min="37" max="37" width="11.44140625" customWidth="1"/>
    <col min="38" max="38" width="10.5546875" customWidth="1"/>
    <col min="39" max="40" width="12.44140625" customWidth="1"/>
    <col min="41" max="41" width="12.5546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46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178717.18</v>
      </c>
      <c r="E9" s="4">
        <f>D9+C9</f>
        <v>178717.18</v>
      </c>
      <c r="F9" s="4"/>
      <c r="G9" s="4">
        <v>174409.09</v>
      </c>
      <c r="H9" s="4">
        <f>G9+F9</f>
        <v>174409.09</v>
      </c>
      <c r="I9" s="4"/>
      <c r="J9" s="4">
        <v>177690.3</v>
      </c>
      <c r="K9" s="4">
        <f>J9+I9</f>
        <v>177690.3</v>
      </c>
      <c r="L9" s="4"/>
      <c r="M9" s="4">
        <v>172420.87</v>
      </c>
      <c r="N9" s="4">
        <f>M9+L9</f>
        <v>172420.87</v>
      </c>
      <c r="O9" s="4"/>
      <c r="P9" s="3">
        <v>180718.29</v>
      </c>
      <c r="Q9" s="4">
        <f>P9+O9</f>
        <v>180718.29</v>
      </c>
      <c r="R9" s="3"/>
      <c r="S9" s="3">
        <v>249393.26</v>
      </c>
      <c r="T9" s="4">
        <f>S9+R9</f>
        <v>249393.26</v>
      </c>
      <c r="U9" s="3"/>
      <c r="V9" s="3">
        <v>137918.89000000001</v>
      </c>
      <c r="W9" s="4">
        <f>V9+U9</f>
        <v>137918.89000000001</v>
      </c>
      <c r="X9" s="3"/>
      <c r="Y9" s="3">
        <v>143306.41</v>
      </c>
      <c r="Z9" s="4">
        <f>Y9+X9</f>
        <v>143306.41</v>
      </c>
      <c r="AA9" s="3"/>
      <c r="AB9" s="3">
        <v>202969</v>
      </c>
      <c r="AC9" s="4">
        <f>AB9+AA9</f>
        <v>202969</v>
      </c>
      <c r="AD9" s="3"/>
      <c r="AE9" s="3"/>
      <c r="AF9" s="4">
        <f>AE9+AD9</f>
        <v>0</v>
      </c>
      <c r="AG9" s="3"/>
      <c r="AH9" s="3"/>
      <c r="AI9" s="4">
        <f>AH9+AG9:AG10</f>
        <v>0</v>
      </c>
      <c r="AJ9" s="3"/>
      <c r="AK9" s="3"/>
      <c r="AL9" s="4">
        <f>AK9+AJ9</f>
        <v>0</v>
      </c>
      <c r="AM9" s="4">
        <f t="shared" ref="AM9:AM29" si="0">AJ9+AG9+AD9+AA9+X9+U9+R9+O9+L9+I9+F9+C9</f>
        <v>0</v>
      </c>
      <c r="AN9" s="4">
        <f t="shared" ref="AN9:AO27" si="1">AK9+AH9+AE9+AB9+Y9+V9+S9+P9+M9+J9+G9+D9</f>
        <v>1617543.2900000003</v>
      </c>
      <c r="AO9" s="4">
        <f t="shared" si="1"/>
        <v>1617543.2900000003</v>
      </c>
    </row>
    <row r="10" spans="1:41" ht="20.100000000000001" customHeight="1">
      <c r="A10" s="3">
        <v>2120</v>
      </c>
      <c r="B10" s="3" t="s">
        <v>1</v>
      </c>
      <c r="C10" s="4"/>
      <c r="D10" s="4">
        <v>40560.449999999997</v>
      </c>
      <c r="E10" s="4">
        <f t="shared" ref="E10:E29" si="2">D10+C10</f>
        <v>40560.449999999997</v>
      </c>
      <c r="F10" s="4"/>
      <c r="G10" s="4">
        <v>39321.18</v>
      </c>
      <c r="H10" s="4">
        <f t="shared" ref="H10:H29" si="3">G10+F10</f>
        <v>39321.18</v>
      </c>
      <c r="I10" s="4"/>
      <c r="J10" s="4">
        <v>43020.38</v>
      </c>
      <c r="K10" s="4">
        <f t="shared" ref="K10:K29" si="4">J10+I10</f>
        <v>43020.38</v>
      </c>
      <c r="L10" s="4"/>
      <c r="M10" s="4">
        <v>36820.75</v>
      </c>
      <c r="N10" s="4">
        <f t="shared" ref="N10:N29" si="5">M10+L10</f>
        <v>36820.75</v>
      </c>
      <c r="O10" s="4"/>
      <c r="P10" s="3">
        <v>40959.43</v>
      </c>
      <c r="Q10" s="4">
        <f t="shared" ref="Q10:Q29" si="6">P10+O10</f>
        <v>40959.43</v>
      </c>
      <c r="R10" s="3"/>
      <c r="S10" s="3">
        <v>51919.85</v>
      </c>
      <c r="T10" s="4">
        <f t="shared" ref="T10:T29" si="7">S10+R10</f>
        <v>51919.85</v>
      </c>
      <c r="U10" s="3"/>
      <c r="V10" s="3">
        <v>32064.45</v>
      </c>
      <c r="W10" s="4">
        <f t="shared" ref="W10:W29" si="8">V10+U10</f>
        <v>32064.45</v>
      </c>
      <c r="X10" s="3"/>
      <c r="Y10" s="3">
        <v>31063.73</v>
      </c>
      <c r="Z10" s="4">
        <f t="shared" ref="Z10:Z30" si="9">Y10+X10</f>
        <v>31063.73</v>
      </c>
      <c r="AA10" s="3"/>
      <c r="AB10" s="3">
        <v>43953.64</v>
      </c>
      <c r="AC10" s="4">
        <f t="shared" ref="AC10:AC29" si="10">AB10+AA10</f>
        <v>43953.64</v>
      </c>
      <c r="AD10" s="3"/>
      <c r="AE10" s="3"/>
      <c r="AF10" s="4">
        <f t="shared" ref="AF10:AF30" si="11">AE10+AD10</f>
        <v>0</v>
      </c>
      <c r="AG10" s="4"/>
      <c r="AH10" s="3"/>
      <c r="AI10" s="4">
        <f t="shared" ref="AI10:AI27" si="12">AH10+AG10:AG11</f>
        <v>0</v>
      </c>
      <c r="AJ10" s="3"/>
      <c r="AK10" s="4"/>
      <c r="AL10" s="4">
        <f t="shared" ref="AL10:AL29" si="13">AK10+AJ10</f>
        <v>0</v>
      </c>
      <c r="AM10" s="4">
        <f t="shared" si="0"/>
        <v>0</v>
      </c>
      <c r="AN10" s="4">
        <f t="shared" si="1"/>
        <v>359683.86</v>
      </c>
      <c r="AO10" s="4">
        <f t="shared" si="1"/>
        <v>359683.86</v>
      </c>
    </row>
    <row r="11" spans="1:41" ht="20.100000000000001" customHeight="1">
      <c r="A11" s="3">
        <v>2210</v>
      </c>
      <c r="B11" s="3" t="s">
        <v>2</v>
      </c>
      <c r="C11" s="4"/>
      <c r="D11" s="4">
        <v>1170.45</v>
      </c>
      <c r="E11" s="4">
        <f t="shared" si="2"/>
        <v>1170.45</v>
      </c>
      <c r="F11" s="4"/>
      <c r="G11" s="4">
        <v>915.51</v>
      </c>
      <c r="H11" s="4">
        <f t="shared" si="3"/>
        <v>915.51</v>
      </c>
      <c r="I11" s="4"/>
      <c r="J11" s="4">
        <v>576.37</v>
      </c>
      <c r="K11" s="4">
        <f t="shared" si="4"/>
        <v>576.37</v>
      </c>
      <c r="L11" s="4"/>
      <c r="M11" s="4">
        <v>666.08</v>
      </c>
      <c r="N11" s="4">
        <f t="shared" si="5"/>
        <v>666.08</v>
      </c>
      <c r="O11" s="8"/>
      <c r="P11" s="3">
        <v>1093.58</v>
      </c>
      <c r="Q11" s="4">
        <f t="shared" si="6"/>
        <v>1093.58</v>
      </c>
      <c r="R11" s="3"/>
      <c r="S11" s="3">
        <v>218.4</v>
      </c>
      <c r="T11" s="4">
        <f t="shared" si="7"/>
        <v>218.4</v>
      </c>
      <c r="U11" s="3"/>
      <c r="V11" s="3"/>
      <c r="W11" s="4">
        <f t="shared" si="8"/>
        <v>0</v>
      </c>
      <c r="X11" s="3"/>
      <c r="Y11" s="3"/>
      <c r="Z11" s="4">
        <f t="shared" si="9"/>
        <v>0</v>
      </c>
      <c r="AA11" s="3"/>
      <c r="AB11" s="3">
        <v>6015.07</v>
      </c>
      <c r="AC11" s="4">
        <f t="shared" si="10"/>
        <v>6015.07</v>
      </c>
      <c r="AD11" s="3"/>
      <c r="AE11" s="4"/>
      <c r="AF11" s="4">
        <f t="shared" si="11"/>
        <v>0</v>
      </c>
      <c r="AG11" s="3"/>
      <c r="AH11" s="3"/>
      <c r="AI11" s="4">
        <f t="shared" si="12"/>
        <v>0</v>
      </c>
      <c r="AJ11" s="3"/>
      <c r="AK11" s="3"/>
      <c r="AL11" s="4">
        <f t="shared" si="13"/>
        <v>0</v>
      </c>
      <c r="AM11" s="4">
        <f t="shared" si="0"/>
        <v>0</v>
      </c>
      <c r="AN11" s="4">
        <f t="shared" si="1"/>
        <v>10655.460000000001</v>
      </c>
      <c r="AO11" s="4">
        <f t="shared" si="1"/>
        <v>10655.460000000001</v>
      </c>
    </row>
    <row r="12" spans="1:41" ht="20.100000000000001" customHeight="1">
      <c r="A12" s="3">
        <v>2220</v>
      </c>
      <c r="B12" s="3" t="s">
        <v>3</v>
      </c>
      <c r="C12" s="4"/>
      <c r="D12" s="4"/>
      <c r="E12" s="4">
        <f t="shared" si="2"/>
        <v>0</v>
      </c>
      <c r="F12" s="4"/>
      <c r="G12" s="4">
        <v>250</v>
      </c>
      <c r="H12" s="4">
        <f t="shared" si="3"/>
        <v>250</v>
      </c>
      <c r="I12" s="4"/>
      <c r="J12" s="4"/>
      <c r="K12" s="4">
        <f t="shared" si="4"/>
        <v>0</v>
      </c>
      <c r="L12" s="4"/>
      <c r="M12" s="4"/>
      <c r="N12" s="4">
        <f t="shared" si="5"/>
        <v>0</v>
      </c>
      <c r="O12" s="8"/>
      <c r="P12" s="3">
        <v>290.87</v>
      </c>
      <c r="Q12" s="4">
        <f t="shared" si="6"/>
        <v>290.87</v>
      </c>
      <c r="R12" s="3"/>
      <c r="S12" s="3"/>
      <c r="T12" s="4">
        <f t="shared" si="7"/>
        <v>0</v>
      </c>
      <c r="U12" s="3"/>
      <c r="V12" s="3"/>
      <c r="W12" s="4">
        <f t="shared" si="8"/>
        <v>0</v>
      </c>
      <c r="X12" s="3"/>
      <c r="Y12" s="3"/>
      <c r="Z12" s="4">
        <f t="shared" si="9"/>
        <v>0</v>
      </c>
      <c r="AA12" s="3"/>
      <c r="AB12" s="3">
        <v>455</v>
      </c>
      <c r="AC12" s="4">
        <f t="shared" si="10"/>
        <v>455</v>
      </c>
      <c r="AD12" s="3"/>
      <c r="AE12" s="4"/>
      <c r="AF12" s="4">
        <f t="shared" si="11"/>
        <v>0</v>
      </c>
      <c r="AG12" s="3"/>
      <c r="AH12" s="3"/>
      <c r="AI12" s="4">
        <f t="shared" si="12"/>
        <v>0</v>
      </c>
      <c r="AJ12" s="3"/>
      <c r="AK12" s="4"/>
      <c r="AL12" s="4">
        <f t="shared" si="13"/>
        <v>0</v>
      </c>
      <c r="AM12" s="4">
        <f t="shared" si="0"/>
        <v>0</v>
      </c>
      <c r="AN12" s="4">
        <f t="shared" si="1"/>
        <v>995.87</v>
      </c>
      <c r="AO12" s="4">
        <f t="shared" si="1"/>
        <v>995.87</v>
      </c>
    </row>
    <row r="13" spans="1:41" ht="20.100000000000001" customHeight="1">
      <c r="A13" s="3">
        <v>2230</v>
      </c>
      <c r="B13" s="3" t="s">
        <v>4</v>
      </c>
      <c r="C13" s="4"/>
      <c r="D13" s="4">
        <v>9699.82</v>
      </c>
      <c r="E13" s="4">
        <f t="shared" si="2"/>
        <v>9699.82</v>
      </c>
      <c r="F13" s="4"/>
      <c r="G13" s="4">
        <v>15049.78</v>
      </c>
      <c r="H13" s="4">
        <f t="shared" si="3"/>
        <v>15049.78</v>
      </c>
      <c r="I13" s="4"/>
      <c r="J13" s="4">
        <v>13200.54</v>
      </c>
      <c r="K13" s="4">
        <f t="shared" si="4"/>
        <v>13200.54</v>
      </c>
      <c r="L13" s="4"/>
      <c r="M13" s="4">
        <v>14450.07</v>
      </c>
      <c r="N13" s="4">
        <f t="shared" si="5"/>
        <v>14450.07</v>
      </c>
      <c r="O13" s="4"/>
      <c r="P13" s="4">
        <v>16600.41</v>
      </c>
      <c r="Q13" s="4">
        <f t="shared" si="6"/>
        <v>16600.41</v>
      </c>
      <c r="R13" s="3"/>
      <c r="S13" s="3"/>
      <c r="T13" s="4">
        <f t="shared" si="7"/>
        <v>0</v>
      </c>
      <c r="U13" s="3"/>
      <c r="V13" s="3"/>
      <c r="W13" s="4">
        <f t="shared" si="8"/>
        <v>0</v>
      </c>
      <c r="X13" s="3"/>
      <c r="Y13" s="3"/>
      <c r="Z13" s="4">
        <f t="shared" si="9"/>
        <v>0</v>
      </c>
      <c r="AA13" s="3"/>
      <c r="AB13" s="3">
        <v>16052.22</v>
      </c>
      <c r="AC13" s="4">
        <f t="shared" si="10"/>
        <v>16052.22</v>
      </c>
      <c r="AD13" s="3"/>
      <c r="AE13" s="4"/>
      <c r="AF13" s="4">
        <f t="shared" si="11"/>
        <v>0</v>
      </c>
      <c r="AG13" s="3"/>
      <c r="AH13" s="3"/>
      <c r="AI13" s="4">
        <f t="shared" si="12"/>
        <v>0</v>
      </c>
      <c r="AJ13" s="3"/>
      <c r="AK13" s="3"/>
      <c r="AL13" s="4">
        <f t="shared" si="13"/>
        <v>0</v>
      </c>
      <c r="AM13" s="4">
        <f t="shared" si="0"/>
        <v>0</v>
      </c>
      <c r="AN13" s="4">
        <f t="shared" si="1"/>
        <v>85052.84</v>
      </c>
      <c r="AO13" s="4">
        <f t="shared" si="1"/>
        <v>85052.84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2"/>
        <v>0</v>
      </c>
      <c r="F14" s="4"/>
      <c r="G14" s="4">
        <f>7200</f>
        <v>7200</v>
      </c>
      <c r="H14" s="4">
        <f t="shared" si="3"/>
        <v>7200</v>
      </c>
      <c r="I14" s="4"/>
      <c r="J14" s="4">
        <f>13823.1</f>
        <v>13823.1</v>
      </c>
      <c r="K14" s="4">
        <f t="shared" si="4"/>
        <v>13823.1</v>
      </c>
      <c r="L14" s="4"/>
      <c r="M14" s="4">
        <f>15005.8</f>
        <v>15005.8</v>
      </c>
      <c r="N14" s="4">
        <f t="shared" si="5"/>
        <v>15005.8</v>
      </c>
      <c r="O14" s="4"/>
      <c r="P14" s="3">
        <f>8097.8</f>
        <v>8097.8</v>
      </c>
      <c r="Q14" s="4">
        <f t="shared" si="6"/>
        <v>8097.8</v>
      </c>
      <c r="R14" s="3"/>
      <c r="S14" s="3">
        <f>18721.52</f>
        <v>18721.52</v>
      </c>
      <c r="T14" s="4">
        <f t="shared" si="7"/>
        <v>18721.52</v>
      </c>
      <c r="U14" s="3"/>
      <c r="V14" s="3">
        <f>15781.82</f>
        <v>15781.82</v>
      </c>
      <c r="W14" s="4">
        <f t="shared" si="8"/>
        <v>15781.82</v>
      </c>
      <c r="X14" s="3"/>
      <c r="Y14" s="3">
        <v>15078.2</v>
      </c>
      <c r="Z14" s="4">
        <f t="shared" si="9"/>
        <v>15078.2</v>
      </c>
      <c r="AA14" s="3"/>
      <c r="AB14" s="4">
        <v>15144.1</v>
      </c>
      <c r="AC14" s="4">
        <f t="shared" si="10"/>
        <v>15144.1</v>
      </c>
      <c r="AD14" s="3"/>
      <c r="AE14" s="3"/>
      <c r="AF14" s="4">
        <f t="shared" si="11"/>
        <v>0</v>
      </c>
      <c r="AG14" s="3"/>
      <c r="AH14" s="3"/>
      <c r="AI14" s="4">
        <f t="shared" si="12"/>
        <v>0</v>
      </c>
      <c r="AJ14" s="3"/>
      <c r="AK14" s="3"/>
      <c r="AL14" s="4">
        <f t="shared" si="13"/>
        <v>0</v>
      </c>
      <c r="AM14" s="4">
        <f t="shared" si="0"/>
        <v>0</v>
      </c>
      <c r="AN14" s="4">
        <f t="shared" si="1"/>
        <v>108852.34000000001</v>
      </c>
      <c r="AO14" s="4">
        <f t="shared" si="1"/>
        <v>108852.34000000001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2"/>
        <v>0</v>
      </c>
      <c r="F15" s="4"/>
      <c r="G15" s="4"/>
      <c r="H15" s="4">
        <f t="shared" si="3"/>
        <v>0</v>
      </c>
      <c r="I15" s="4"/>
      <c r="J15" s="4"/>
      <c r="K15" s="4">
        <f t="shared" si="4"/>
        <v>0</v>
      </c>
      <c r="L15" s="4"/>
      <c r="M15" s="4"/>
      <c r="N15" s="4">
        <f t="shared" si="5"/>
        <v>0</v>
      </c>
      <c r="O15" s="4"/>
      <c r="P15" s="3"/>
      <c r="Q15" s="4">
        <f t="shared" si="6"/>
        <v>0</v>
      </c>
      <c r="R15" s="3"/>
      <c r="S15" s="4"/>
      <c r="T15" s="4">
        <f t="shared" si="7"/>
        <v>0</v>
      </c>
      <c r="U15" s="3"/>
      <c r="V15" s="3"/>
      <c r="W15" s="4">
        <f t="shared" si="8"/>
        <v>0</v>
      </c>
      <c r="X15" s="3"/>
      <c r="Y15" s="3"/>
      <c r="Z15" s="4">
        <f t="shared" si="9"/>
        <v>0</v>
      </c>
      <c r="AA15" s="3"/>
      <c r="AB15" s="4"/>
      <c r="AC15" s="4">
        <f t="shared" si="10"/>
        <v>0</v>
      </c>
      <c r="AD15" s="3"/>
      <c r="AE15" s="3"/>
      <c r="AF15" s="4">
        <f t="shared" si="11"/>
        <v>0</v>
      </c>
      <c r="AG15" s="3"/>
      <c r="AH15" s="3"/>
      <c r="AI15" s="4">
        <f t="shared" si="12"/>
        <v>0</v>
      </c>
      <c r="AJ15" s="3"/>
      <c r="AK15" s="4"/>
      <c r="AL15" s="4">
        <f t="shared" si="13"/>
        <v>0</v>
      </c>
      <c r="AM15" s="4">
        <f t="shared" si="0"/>
        <v>0</v>
      </c>
      <c r="AN15" s="4">
        <f t="shared" si="1"/>
        <v>0</v>
      </c>
      <c r="AO15" s="4">
        <f t="shared" si="1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2"/>
        <v>0</v>
      </c>
      <c r="F16" s="4"/>
      <c r="G16" s="4"/>
      <c r="H16" s="4">
        <f t="shared" si="3"/>
        <v>0</v>
      </c>
      <c r="I16" s="4"/>
      <c r="J16" s="4"/>
      <c r="K16" s="4">
        <f t="shared" si="4"/>
        <v>0</v>
      </c>
      <c r="L16" s="4"/>
      <c r="M16" s="4"/>
      <c r="N16" s="4">
        <f t="shared" si="5"/>
        <v>0</v>
      </c>
      <c r="O16" s="4"/>
      <c r="P16" s="3"/>
      <c r="Q16" s="4">
        <f t="shared" si="6"/>
        <v>0</v>
      </c>
      <c r="R16" s="3"/>
      <c r="S16" s="3"/>
      <c r="T16" s="4">
        <f t="shared" si="7"/>
        <v>0</v>
      </c>
      <c r="U16" s="3"/>
      <c r="V16" s="3"/>
      <c r="W16" s="4">
        <f t="shared" si="8"/>
        <v>0</v>
      </c>
      <c r="X16" s="3"/>
      <c r="Y16" s="3"/>
      <c r="Z16" s="4">
        <f t="shared" si="9"/>
        <v>0</v>
      </c>
      <c r="AA16" s="3"/>
      <c r="AB16" s="4"/>
      <c r="AC16" s="4">
        <f t="shared" si="10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0"/>
        <v>0</v>
      </c>
      <c r="AN16" s="4">
        <f t="shared" si="1"/>
        <v>0</v>
      </c>
      <c r="AO16" s="4">
        <f t="shared" si="1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2"/>
        <v>0</v>
      </c>
      <c r="F17" s="4"/>
      <c r="G17" s="4">
        <v>446817.95</v>
      </c>
      <c r="H17" s="4">
        <f t="shared" si="3"/>
        <v>446817.95</v>
      </c>
      <c r="I17" s="4"/>
      <c r="J17" s="4">
        <v>512298.02</v>
      </c>
      <c r="K17" s="4">
        <f t="shared" si="4"/>
        <v>512298.02</v>
      </c>
      <c r="L17" s="4"/>
      <c r="M17" s="4">
        <v>154601.62</v>
      </c>
      <c r="N17" s="4">
        <f t="shared" si="5"/>
        <v>154601.62</v>
      </c>
      <c r="O17" s="4"/>
      <c r="P17" s="3"/>
      <c r="Q17" s="4">
        <f t="shared" si="6"/>
        <v>0</v>
      </c>
      <c r="R17" s="3"/>
      <c r="S17" s="3"/>
      <c r="T17" s="4">
        <f t="shared" si="7"/>
        <v>0</v>
      </c>
      <c r="U17" s="3"/>
      <c r="V17" s="3"/>
      <c r="W17" s="4">
        <f t="shared" si="8"/>
        <v>0</v>
      </c>
      <c r="X17" s="3"/>
      <c r="Y17" s="3"/>
      <c r="Z17" s="4">
        <f t="shared" si="9"/>
        <v>0</v>
      </c>
      <c r="AA17" s="3"/>
      <c r="AB17" s="4"/>
      <c r="AC17" s="4">
        <f t="shared" si="10"/>
        <v>0</v>
      </c>
      <c r="AD17" s="3"/>
      <c r="AE17" s="3"/>
      <c r="AF17" s="4">
        <f t="shared" si="11"/>
        <v>0</v>
      </c>
      <c r="AG17" s="3"/>
      <c r="AH17" s="3"/>
      <c r="AI17" s="4">
        <f t="shared" si="12"/>
        <v>0</v>
      </c>
      <c r="AJ17" s="3"/>
      <c r="AK17" s="3"/>
      <c r="AL17" s="4">
        <f t="shared" si="13"/>
        <v>0</v>
      </c>
      <c r="AM17" s="4">
        <f t="shared" si="0"/>
        <v>0</v>
      </c>
      <c r="AN17" s="4">
        <f t="shared" si="1"/>
        <v>1113717.5900000001</v>
      </c>
      <c r="AO17" s="4">
        <f t="shared" si="1"/>
        <v>1113717.5900000001</v>
      </c>
    </row>
    <row r="18" spans="1:41" ht="20.100000000000001" customHeight="1">
      <c r="A18" s="3">
        <v>2272</v>
      </c>
      <c r="B18" s="3" t="s">
        <v>9</v>
      </c>
      <c r="C18" s="4"/>
      <c r="D18" s="4">
        <v>2751.84</v>
      </c>
      <c r="E18" s="4">
        <f t="shared" si="2"/>
        <v>2751.84</v>
      </c>
      <c r="F18" s="4"/>
      <c r="G18" s="4">
        <v>3316.32</v>
      </c>
      <c r="H18" s="4">
        <f t="shared" si="3"/>
        <v>3316.32</v>
      </c>
      <c r="I18" s="4"/>
      <c r="J18" s="4">
        <v>3386.88</v>
      </c>
      <c r="K18" s="4">
        <f t="shared" si="4"/>
        <v>3386.88</v>
      </c>
      <c r="L18" s="4"/>
      <c r="M18" s="4">
        <v>4163.04</v>
      </c>
      <c r="N18" s="4">
        <f t="shared" si="5"/>
        <v>4163.04</v>
      </c>
      <c r="O18" s="4"/>
      <c r="P18" s="3">
        <v>3880.8</v>
      </c>
      <c r="Q18" s="4">
        <f t="shared" si="6"/>
        <v>3880.8</v>
      </c>
      <c r="R18" s="3"/>
      <c r="S18" s="3">
        <v>3920.95</v>
      </c>
      <c r="T18" s="4">
        <f t="shared" si="7"/>
        <v>3920.95</v>
      </c>
      <c r="U18" s="3"/>
      <c r="V18" s="3">
        <v>1412.42</v>
      </c>
      <c r="W18" s="4">
        <f t="shared" si="8"/>
        <v>1412.42</v>
      </c>
      <c r="X18" s="3"/>
      <c r="Y18" s="4">
        <v>1569.36</v>
      </c>
      <c r="Z18" s="4">
        <f t="shared" si="9"/>
        <v>1569.36</v>
      </c>
      <c r="AA18" s="3"/>
      <c r="AB18" s="3">
        <v>4629.6099999999997</v>
      </c>
      <c r="AC18" s="4">
        <f t="shared" si="10"/>
        <v>4629.6099999999997</v>
      </c>
      <c r="AD18" s="3"/>
      <c r="AE18" s="3"/>
      <c r="AF18" s="4">
        <f t="shared" si="11"/>
        <v>0</v>
      </c>
      <c r="AG18" s="3"/>
      <c r="AH18" s="3"/>
      <c r="AI18" s="4">
        <f t="shared" si="12"/>
        <v>0</v>
      </c>
      <c r="AJ18" s="3"/>
      <c r="AK18" s="3"/>
      <c r="AL18" s="4">
        <f t="shared" si="13"/>
        <v>0</v>
      </c>
      <c r="AM18" s="4">
        <f t="shared" si="0"/>
        <v>0</v>
      </c>
      <c r="AN18" s="4">
        <f t="shared" si="1"/>
        <v>29031.22</v>
      </c>
      <c r="AO18" s="4">
        <f t="shared" si="1"/>
        <v>29031.22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2"/>
        <v>0</v>
      </c>
      <c r="F19" s="4"/>
      <c r="G19" s="4">
        <v>27580.74</v>
      </c>
      <c r="H19" s="4">
        <f t="shared" si="3"/>
        <v>27580.74</v>
      </c>
      <c r="I19" s="4"/>
      <c r="J19" s="4">
        <v>28698.85</v>
      </c>
      <c r="K19" s="4">
        <f t="shared" si="4"/>
        <v>28698.85</v>
      </c>
      <c r="L19" s="4"/>
      <c r="M19" s="4">
        <v>33685.120000000003</v>
      </c>
      <c r="N19" s="4">
        <f t="shared" si="5"/>
        <v>33685.120000000003</v>
      </c>
      <c r="O19" s="4"/>
      <c r="P19" s="3">
        <v>32500.46</v>
      </c>
      <c r="Q19" s="4">
        <f t="shared" si="6"/>
        <v>32500.46</v>
      </c>
      <c r="R19" s="3"/>
      <c r="S19" s="3">
        <v>34859.53</v>
      </c>
      <c r="T19" s="4">
        <f t="shared" si="7"/>
        <v>34859.53</v>
      </c>
      <c r="U19" s="3"/>
      <c r="V19" s="3">
        <v>6812.61</v>
      </c>
      <c r="W19" s="4">
        <f t="shared" si="8"/>
        <v>6812.61</v>
      </c>
      <c r="X19" s="3"/>
      <c r="Y19" s="3">
        <v>5858.81</v>
      </c>
      <c r="Z19" s="4">
        <f t="shared" si="9"/>
        <v>5858.81</v>
      </c>
      <c r="AA19" s="3"/>
      <c r="AB19" s="3">
        <v>8448.48</v>
      </c>
      <c r="AC19" s="4">
        <f t="shared" si="10"/>
        <v>8448.48</v>
      </c>
      <c r="AD19" s="3"/>
      <c r="AE19" s="3"/>
      <c r="AF19" s="4">
        <f t="shared" si="11"/>
        <v>0</v>
      </c>
      <c r="AG19" s="3"/>
      <c r="AH19" s="3"/>
      <c r="AI19" s="4">
        <f t="shared" si="12"/>
        <v>0</v>
      </c>
      <c r="AJ19" s="3"/>
      <c r="AK19" s="3"/>
      <c r="AL19" s="4">
        <f t="shared" si="13"/>
        <v>0</v>
      </c>
      <c r="AM19" s="4">
        <f t="shared" si="0"/>
        <v>0</v>
      </c>
      <c r="AN19" s="4">
        <f t="shared" si="1"/>
        <v>178444.6</v>
      </c>
      <c r="AO19" s="4">
        <f t="shared" si="1"/>
        <v>178444.6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2"/>
        <v>0</v>
      </c>
      <c r="F20" s="4"/>
      <c r="G20" s="4"/>
      <c r="H20" s="4">
        <f t="shared" si="3"/>
        <v>0</v>
      </c>
      <c r="I20" s="4"/>
      <c r="J20" s="4"/>
      <c r="K20" s="4">
        <f t="shared" si="4"/>
        <v>0</v>
      </c>
      <c r="L20" s="4"/>
      <c r="M20" s="4"/>
      <c r="N20" s="4">
        <f t="shared" si="5"/>
        <v>0</v>
      </c>
      <c r="O20" s="4"/>
      <c r="P20" s="3"/>
      <c r="Q20" s="4">
        <f t="shared" si="6"/>
        <v>0</v>
      </c>
      <c r="R20" s="3"/>
      <c r="S20" s="3"/>
      <c r="T20" s="4">
        <f t="shared" si="7"/>
        <v>0</v>
      </c>
      <c r="U20" s="3"/>
      <c r="V20" s="3"/>
      <c r="W20" s="4">
        <f t="shared" si="8"/>
        <v>0</v>
      </c>
      <c r="X20" s="3"/>
      <c r="Y20" s="3"/>
      <c r="Z20" s="4">
        <f t="shared" si="9"/>
        <v>0</v>
      </c>
      <c r="AA20" s="3"/>
      <c r="AB20" s="4"/>
      <c r="AC20" s="4">
        <f t="shared" si="10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3"/>
      <c r="AL20" s="4">
        <f t="shared" si="13"/>
        <v>0</v>
      </c>
      <c r="AM20" s="4">
        <f t="shared" si="0"/>
        <v>0</v>
      </c>
      <c r="AN20" s="4">
        <f t="shared" si="1"/>
        <v>0</v>
      </c>
      <c r="AO20" s="4">
        <f t="shared" si="1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10693.94</v>
      </c>
      <c r="E21" s="4">
        <f t="shared" si="2"/>
        <v>10693.94</v>
      </c>
      <c r="F21" s="4"/>
      <c r="G21" s="4">
        <v>2059.34</v>
      </c>
      <c r="H21" s="4">
        <f t="shared" si="3"/>
        <v>2059.34</v>
      </c>
      <c r="I21" s="4"/>
      <c r="J21" s="4">
        <v>1048.08</v>
      </c>
      <c r="K21" s="4">
        <f t="shared" si="4"/>
        <v>1048.08</v>
      </c>
      <c r="L21" s="4"/>
      <c r="M21" s="4">
        <v>1812.05</v>
      </c>
      <c r="N21" s="4">
        <f t="shared" si="5"/>
        <v>1812.05</v>
      </c>
      <c r="O21" s="8"/>
      <c r="P21" s="3">
        <v>4548.08</v>
      </c>
      <c r="Q21" s="4">
        <f t="shared" si="6"/>
        <v>4548.08</v>
      </c>
      <c r="R21" s="3"/>
      <c r="S21" s="3">
        <v>1048.08</v>
      </c>
      <c r="T21" s="4">
        <f t="shared" si="7"/>
        <v>1048.08</v>
      </c>
      <c r="U21" s="3"/>
      <c r="V21" s="3">
        <v>1310.0999999999999</v>
      </c>
      <c r="W21" s="4">
        <f t="shared" si="8"/>
        <v>1310.0999999999999</v>
      </c>
      <c r="X21" s="3"/>
      <c r="Y21" s="3">
        <v>1527.24</v>
      </c>
      <c r="Z21" s="4">
        <f t="shared" si="9"/>
        <v>1527.24</v>
      </c>
      <c r="AA21" s="3"/>
      <c r="AB21" s="3">
        <f>1976.12</f>
        <v>1976.12</v>
      </c>
      <c r="AC21" s="4">
        <f t="shared" si="10"/>
        <v>1976.12</v>
      </c>
      <c r="AD21" s="3"/>
      <c r="AE21" s="3"/>
      <c r="AF21" s="4">
        <f t="shared" si="11"/>
        <v>0</v>
      </c>
      <c r="AG21" s="3"/>
      <c r="AH21" s="3"/>
      <c r="AI21" s="4">
        <f t="shared" si="12"/>
        <v>0</v>
      </c>
      <c r="AJ21" s="3"/>
      <c r="AK21" s="3"/>
      <c r="AL21" s="4">
        <f t="shared" si="13"/>
        <v>0</v>
      </c>
      <c r="AM21" s="4">
        <f t="shared" si="0"/>
        <v>0</v>
      </c>
      <c r="AN21" s="4">
        <f t="shared" si="1"/>
        <v>26023.03</v>
      </c>
      <c r="AO21" s="4">
        <f t="shared" si="1"/>
        <v>26023.03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2"/>
        <v>0</v>
      </c>
      <c r="F22" s="4"/>
      <c r="G22" s="4"/>
      <c r="H22" s="4">
        <f t="shared" si="3"/>
        <v>0</v>
      </c>
      <c r="I22" s="4"/>
      <c r="J22" s="4"/>
      <c r="K22" s="4">
        <f t="shared" si="4"/>
        <v>0</v>
      </c>
      <c r="L22" s="4"/>
      <c r="M22" s="4"/>
      <c r="N22" s="4">
        <f t="shared" si="5"/>
        <v>0</v>
      </c>
      <c r="O22" s="8"/>
      <c r="P22" s="3">
        <v>2880</v>
      </c>
      <c r="Q22" s="4">
        <f t="shared" si="6"/>
        <v>2880</v>
      </c>
      <c r="R22" s="3"/>
      <c r="S22" s="3">
        <v>600</v>
      </c>
      <c r="T22" s="4">
        <f t="shared" si="7"/>
        <v>600</v>
      </c>
      <c r="U22" s="3"/>
      <c r="V22" s="3"/>
      <c r="W22" s="4">
        <f t="shared" si="8"/>
        <v>0</v>
      </c>
      <c r="X22" s="3"/>
      <c r="Y22" s="3">
        <v>320</v>
      </c>
      <c r="Z22" s="4">
        <f t="shared" si="9"/>
        <v>320</v>
      </c>
      <c r="AA22" s="3"/>
      <c r="AB22" s="4"/>
      <c r="AC22" s="4">
        <f t="shared" si="10"/>
        <v>0</v>
      </c>
      <c r="AD22" s="3"/>
      <c r="AE22" s="3"/>
      <c r="AF22" s="4">
        <f t="shared" si="11"/>
        <v>0</v>
      </c>
      <c r="AG22" s="3"/>
      <c r="AH22" s="3"/>
      <c r="AI22" s="4">
        <f>AH22+AG22:AG25</f>
        <v>0</v>
      </c>
      <c r="AJ22" s="3"/>
      <c r="AK22" s="3"/>
      <c r="AL22" s="4">
        <f t="shared" si="13"/>
        <v>0</v>
      </c>
      <c r="AM22" s="4">
        <f t="shared" si="0"/>
        <v>0</v>
      </c>
      <c r="AN22" s="4">
        <f t="shared" si="1"/>
        <v>3800</v>
      </c>
      <c r="AO22" s="4">
        <f t="shared" si="1"/>
        <v>3800</v>
      </c>
    </row>
    <row r="23" spans="1:41" ht="25.5" customHeight="1">
      <c r="A23" s="6">
        <v>2700</v>
      </c>
      <c r="B23" s="6" t="s">
        <v>14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8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8.5" customHeight="1">
      <c r="A24" s="3">
        <v>2800</v>
      </c>
      <c r="B24" s="3" t="s">
        <v>44</v>
      </c>
      <c r="C24" s="4"/>
      <c r="D24" s="4"/>
      <c r="E24" s="4">
        <f t="shared" si="2"/>
        <v>0</v>
      </c>
      <c r="F24" s="4"/>
      <c r="G24" s="4"/>
      <c r="H24" s="4">
        <f t="shared" si="3"/>
        <v>0</v>
      </c>
      <c r="I24" s="4"/>
      <c r="J24" s="4"/>
      <c r="K24" s="4">
        <f t="shared" si="4"/>
        <v>0</v>
      </c>
      <c r="L24" s="4"/>
      <c r="M24" s="4"/>
      <c r="N24" s="4">
        <f t="shared" si="5"/>
        <v>0</v>
      </c>
      <c r="O24" s="4"/>
      <c r="P24" s="4"/>
      <c r="Q24" s="4">
        <f t="shared" si="6"/>
        <v>0</v>
      </c>
      <c r="R24" s="4"/>
      <c r="S24" s="4"/>
      <c r="T24" s="4">
        <f t="shared" si="7"/>
        <v>0</v>
      </c>
      <c r="U24" s="4"/>
      <c r="V24" s="4"/>
      <c r="W24" s="4">
        <f t="shared" si="8"/>
        <v>0</v>
      </c>
      <c r="X24" s="4"/>
      <c r="Y24" s="4">
        <v>12723.72</v>
      </c>
      <c r="Z24" s="4">
        <f t="shared" si="9"/>
        <v>12723.72</v>
      </c>
      <c r="AA24" s="4"/>
      <c r="AB24" s="4"/>
      <c r="AC24" s="4">
        <f t="shared" si="10"/>
        <v>0</v>
      </c>
      <c r="AD24" s="4"/>
      <c r="AE24" s="4"/>
      <c r="AF24" s="4">
        <f t="shared" si="11"/>
        <v>0</v>
      </c>
      <c r="AG24" s="4"/>
      <c r="AH24" s="4"/>
      <c r="AI24" s="4">
        <f t="shared" ref="AI24" si="14">AH24+AG24</f>
        <v>0</v>
      </c>
      <c r="AJ24" s="4"/>
      <c r="AK24" s="4"/>
      <c r="AL24" s="4">
        <f t="shared" si="13"/>
        <v>0</v>
      </c>
      <c r="AM24" s="4">
        <f t="shared" ref="AM24" si="15">AL24+AK24</f>
        <v>0</v>
      </c>
      <c r="AN24" s="4">
        <f t="shared" si="1"/>
        <v>12723.72</v>
      </c>
      <c r="AO24" s="4">
        <f t="shared" si="1"/>
        <v>12723.72</v>
      </c>
    </row>
    <row r="25" spans="1:41" ht="28.5" customHeight="1">
      <c r="A25" s="3">
        <v>3110</v>
      </c>
      <c r="B25" s="5" t="s">
        <v>15</v>
      </c>
      <c r="C25" s="4"/>
      <c r="D25" s="4"/>
      <c r="E25" s="4">
        <f t="shared" si="2"/>
        <v>0</v>
      </c>
      <c r="F25" s="4"/>
      <c r="G25" s="4"/>
      <c r="H25" s="4">
        <f t="shared" si="3"/>
        <v>0</v>
      </c>
      <c r="I25" s="4"/>
      <c r="J25" s="4"/>
      <c r="K25" s="4">
        <f t="shared" si="4"/>
        <v>0</v>
      </c>
      <c r="L25" s="4"/>
      <c r="M25" s="4"/>
      <c r="N25" s="4">
        <f t="shared" si="5"/>
        <v>0</v>
      </c>
      <c r="O25" s="8"/>
      <c r="P25" s="3"/>
      <c r="Q25" s="4">
        <f t="shared" si="6"/>
        <v>0</v>
      </c>
      <c r="R25" s="3"/>
      <c r="S25" s="3"/>
      <c r="T25" s="4">
        <f t="shared" si="7"/>
        <v>0</v>
      </c>
      <c r="U25" s="3"/>
      <c r="V25" s="3"/>
      <c r="W25" s="4">
        <f t="shared" si="8"/>
        <v>0</v>
      </c>
      <c r="X25" s="3"/>
      <c r="Y25" s="3"/>
      <c r="Z25" s="4">
        <f t="shared" si="9"/>
        <v>0</v>
      </c>
      <c r="AA25" s="3"/>
      <c r="AB25" s="4"/>
      <c r="AC25" s="4">
        <f t="shared" si="10"/>
        <v>0</v>
      </c>
      <c r="AD25" s="3"/>
      <c r="AE25" s="3"/>
      <c r="AF25" s="4">
        <f t="shared" si="11"/>
        <v>0</v>
      </c>
      <c r="AG25" s="3"/>
      <c r="AH25" s="3"/>
      <c r="AI25" s="4">
        <f>AH25+AG25:AG27</f>
        <v>0</v>
      </c>
      <c r="AJ25" s="3"/>
      <c r="AK25" s="3"/>
      <c r="AL25" s="4">
        <f t="shared" si="13"/>
        <v>0</v>
      </c>
      <c r="AM25" s="4">
        <f t="shared" si="0"/>
        <v>0</v>
      </c>
      <c r="AN25" s="4">
        <f t="shared" si="1"/>
        <v>0</v>
      </c>
      <c r="AO25" s="4">
        <f t="shared" si="1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2"/>
        <v>0</v>
      </c>
      <c r="F26" s="4"/>
      <c r="G26" s="4"/>
      <c r="H26" s="4">
        <f t="shared" si="3"/>
        <v>0</v>
      </c>
      <c r="I26" s="4"/>
      <c r="J26" s="4"/>
      <c r="K26" s="4">
        <f t="shared" si="4"/>
        <v>0</v>
      </c>
      <c r="L26" s="4"/>
      <c r="M26" s="4"/>
      <c r="N26" s="4">
        <f t="shared" si="5"/>
        <v>0</v>
      </c>
      <c r="O26" s="8"/>
      <c r="P26" s="3"/>
      <c r="Q26" s="4">
        <f t="shared" si="6"/>
        <v>0</v>
      </c>
      <c r="R26" s="3"/>
      <c r="S26" s="3"/>
      <c r="T26" s="4">
        <f t="shared" si="7"/>
        <v>0</v>
      </c>
      <c r="U26" s="3"/>
      <c r="V26" s="3"/>
      <c r="W26" s="4">
        <f t="shared" si="8"/>
        <v>0</v>
      </c>
      <c r="X26" s="3"/>
      <c r="Y26" s="3"/>
      <c r="Z26" s="4">
        <f t="shared" si="9"/>
        <v>0</v>
      </c>
      <c r="AA26" s="3"/>
      <c r="AB26" s="4"/>
      <c r="AC26" s="4">
        <f t="shared" si="10"/>
        <v>0</v>
      </c>
      <c r="AD26" s="3"/>
      <c r="AE26" s="3"/>
      <c r="AF26" s="4">
        <f t="shared" si="11"/>
        <v>0</v>
      </c>
      <c r="AG26" s="3"/>
      <c r="AH26" s="3"/>
      <c r="AI26" s="4">
        <f>AH26+AG26:AG28</f>
        <v>0</v>
      </c>
      <c r="AJ26" s="3"/>
      <c r="AK26" s="3"/>
      <c r="AL26" s="4">
        <f t="shared" si="13"/>
        <v>0</v>
      </c>
      <c r="AM26" s="4">
        <f t="shared" si="0"/>
        <v>0</v>
      </c>
      <c r="AN26" s="4">
        <f t="shared" si="1"/>
        <v>0</v>
      </c>
      <c r="AO26" s="4">
        <f t="shared" si="1"/>
        <v>0</v>
      </c>
    </row>
    <row r="27" spans="1:41" ht="34.5" customHeight="1">
      <c r="A27" s="6"/>
      <c r="B27" s="5"/>
      <c r="C27" s="4"/>
      <c r="D27" s="4"/>
      <c r="E27" s="4">
        <f t="shared" si="2"/>
        <v>0</v>
      </c>
      <c r="F27" s="4"/>
      <c r="G27" s="4"/>
      <c r="H27" s="4">
        <f t="shared" si="3"/>
        <v>0</v>
      </c>
      <c r="I27" s="4"/>
      <c r="J27" s="4"/>
      <c r="K27" s="4">
        <f t="shared" si="4"/>
        <v>0</v>
      </c>
      <c r="L27" s="4"/>
      <c r="M27" s="4"/>
      <c r="N27" s="4">
        <f t="shared" si="5"/>
        <v>0</v>
      </c>
      <c r="O27" s="8"/>
      <c r="P27" s="3"/>
      <c r="Q27" s="4">
        <f t="shared" si="6"/>
        <v>0</v>
      </c>
      <c r="R27" s="3"/>
      <c r="S27" s="3"/>
      <c r="T27" s="4">
        <f t="shared" si="7"/>
        <v>0</v>
      </c>
      <c r="U27" s="3"/>
      <c r="V27" s="3"/>
      <c r="W27" s="4">
        <f t="shared" si="8"/>
        <v>0</v>
      </c>
      <c r="X27" s="3"/>
      <c r="Y27" s="3"/>
      <c r="Z27" s="4">
        <f t="shared" si="9"/>
        <v>0</v>
      </c>
      <c r="AA27" s="3"/>
      <c r="AB27" s="4"/>
      <c r="AC27" s="4">
        <f t="shared" si="10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0"/>
        <v>0</v>
      </c>
      <c r="AN27" s="4">
        <f t="shared" si="1"/>
        <v>0</v>
      </c>
      <c r="AO27" s="4">
        <f t="shared" si="1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2"/>
        <v>0</v>
      </c>
      <c r="F28" s="4"/>
      <c r="G28" s="4"/>
      <c r="H28" s="4">
        <f t="shared" si="3"/>
        <v>0</v>
      </c>
      <c r="I28" s="4"/>
      <c r="J28" s="4"/>
      <c r="K28" s="4">
        <f t="shared" si="4"/>
        <v>0</v>
      </c>
      <c r="L28" s="4"/>
      <c r="M28" s="4"/>
      <c r="N28" s="4">
        <f t="shared" si="5"/>
        <v>0</v>
      </c>
      <c r="O28" s="8"/>
      <c r="P28" s="3"/>
      <c r="Q28" s="4">
        <f t="shared" si="6"/>
        <v>0</v>
      </c>
      <c r="R28" s="3"/>
      <c r="S28" s="3"/>
      <c r="T28" s="4">
        <f t="shared" si="7"/>
        <v>0</v>
      </c>
      <c r="U28" s="3"/>
      <c r="V28" s="3"/>
      <c r="W28" s="4">
        <f t="shared" si="8"/>
        <v>0</v>
      </c>
      <c r="X28" s="3"/>
      <c r="Y28" s="3"/>
      <c r="Z28" s="4">
        <f t="shared" si="9"/>
        <v>0</v>
      </c>
      <c r="AA28" s="3"/>
      <c r="AB28" s="4"/>
      <c r="AC28" s="4">
        <f t="shared" si="10"/>
        <v>0</v>
      </c>
      <c r="AD28" s="3"/>
      <c r="AE28" s="3"/>
      <c r="AF28" s="4">
        <f t="shared" si="11"/>
        <v>0</v>
      </c>
      <c r="AG28" s="3"/>
      <c r="AH28" s="3"/>
      <c r="AI28" s="4">
        <f>AH28+AG28:AG30</f>
        <v>0</v>
      </c>
      <c r="AJ28" s="3"/>
      <c r="AK28" s="3"/>
      <c r="AL28" s="4">
        <f t="shared" si="13"/>
        <v>0</v>
      </c>
      <c r="AM28" s="4">
        <f t="shared" si="0"/>
        <v>0</v>
      </c>
      <c r="AN28" s="4">
        <f>AK28+AH28+AE28+AB28+Y28+V28+S28+P28+M28+J28+G28+D28</f>
        <v>0</v>
      </c>
      <c r="AO28" s="4">
        <f>AL28+AI28+AF28+AC28+Z28+W28+T28+Q28+N28+K28+H28+E28</f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2"/>
        <v>0</v>
      </c>
      <c r="F29" s="4"/>
      <c r="G29" s="4">
        <v>1435</v>
      </c>
      <c r="H29" s="4">
        <f t="shared" si="3"/>
        <v>1435</v>
      </c>
      <c r="I29" s="4"/>
      <c r="J29" s="4">
        <v>1435</v>
      </c>
      <c r="K29" s="4">
        <f t="shared" si="4"/>
        <v>1435</v>
      </c>
      <c r="L29" s="4"/>
      <c r="M29" s="4">
        <v>2360</v>
      </c>
      <c r="N29" s="4">
        <f t="shared" si="5"/>
        <v>2360</v>
      </c>
      <c r="O29" s="8"/>
      <c r="P29" s="3">
        <v>1435</v>
      </c>
      <c r="Q29" s="4">
        <f t="shared" si="6"/>
        <v>1435</v>
      </c>
      <c r="R29" s="3"/>
      <c r="S29" s="3">
        <v>1435</v>
      </c>
      <c r="T29" s="4">
        <f t="shared" si="7"/>
        <v>1435</v>
      </c>
      <c r="U29" s="3"/>
      <c r="V29" s="3">
        <v>2360</v>
      </c>
      <c r="W29" s="4">
        <f t="shared" si="8"/>
        <v>2360</v>
      </c>
      <c r="X29" s="3"/>
      <c r="Y29" s="3">
        <v>1435</v>
      </c>
      <c r="Z29" s="4">
        <f t="shared" si="9"/>
        <v>1435</v>
      </c>
      <c r="AA29" s="3"/>
      <c r="AB29" s="4">
        <v>1435</v>
      </c>
      <c r="AC29" s="4">
        <f t="shared" si="10"/>
        <v>1435</v>
      </c>
      <c r="AD29" s="3"/>
      <c r="AE29" s="3"/>
      <c r="AF29" s="4">
        <f t="shared" si="11"/>
        <v>0</v>
      </c>
      <c r="AG29" s="3"/>
      <c r="AH29" s="3"/>
      <c r="AI29" s="4">
        <f>AH29+AG29:AG31</f>
        <v>0</v>
      </c>
      <c r="AJ29" s="3"/>
      <c r="AK29" s="3"/>
      <c r="AL29" s="4">
        <f t="shared" si="13"/>
        <v>0</v>
      </c>
      <c r="AM29" s="4">
        <f t="shared" si="0"/>
        <v>0</v>
      </c>
      <c r="AN29" s="4">
        <f>AK29+AH29+AE29+AB29+Y29+V29+S29+P29+M29+J29+G29+D29</f>
        <v>13330</v>
      </c>
      <c r="AO29" s="4">
        <f>AL29+AI29+AF29+AC29+Z29+W29+T29+Q29+N29+K29+H29+E29</f>
        <v>13330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16">SUM(D9:D28)</f>
        <v>243593.68000000002</v>
      </c>
      <c r="E30" s="8">
        <f t="shared" si="16"/>
        <v>243593.68000000002</v>
      </c>
      <c r="F30" s="8">
        <f t="shared" si="16"/>
        <v>0</v>
      </c>
      <c r="G30" s="8">
        <f t="shared" si="16"/>
        <v>716919.90999999992</v>
      </c>
      <c r="H30" s="8">
        <f t="shared" si="16"/>
        <v>716919.90999999992</v>
      </c>
      <c r="I30" s="8">
        <f t="shared" si="16"/>
        <v>0</v>
      </c>
      <c r="J30" s="8">
        <f t="shared" si="16"/>
        <v>793742.5199999999</v>
      </c>
      <c r="K30" s="8">
        <f>J30+I30</f>
        <v>793742.5199999999</v>
      </c>
      <c r="L30" s="8">
        <f t="shared" si="16"/>
        <v>0</v>
      </c>
      <c r="M30" s="8">
        <f t="shared" si="16"/>
        <v>433625.39999999991</v>
      </c>
      <c r="N30" s="8">
        <f>M30+L30</f>
        <v>433625.39999999991</v>
      </c>
      <c r="O30" s="8">
        <f t="shared" si="16"/>
        <v>0</v>
      </c>
      <c r="P30" s="8">
        <f t="shared" si="16"/>
        <v>291569.71999999997</v>
      </c>
      <c r="Q30" s="8">
        <f>P30+O30</f>
        <v>291569.71999999997</v>
      </c>
      <c r="R30" s="8">
        <f t="shared" si="16"/>
        <v>0</v>
      </c>
      <c r="S30" s="8">
        <f t="shared" si="16"/>
        <v>360681.59</v>
      </c>
      <c r="T30" s="8">
        <f>S30+R30</f>
        <v>360681.59</v>
      </c>
      <c r="U30" s="8">
        <f t="shared" si="16"/>
        <v>0</v>
      </c>
      <c r="V30" s="8">
        <f t="shared" si="16"/>
        <v>195300.29000000004</v>
      </c>
      <c r="W30" s="8">
        <f>V30+U30</f>
        <v>195300.29000000004</v>
      </c>
      <c r="X30" s="8">
        <f t="shared" si="16"/>
        <v>0</v>
      </c>
      <c r="Y30" s="8">
        <f t="shared" si="16"/>
        <v>211447.47</v>
      </c>
      <c r="Z30" s="8">
        <f t="shared" si="9"/>
        <v>211447.47</v>
      </c>
      <c r="AA30" s="8">
        <f t="shared" si="16"/>
        <v>0</v>
      </c>
      <c r="AB30" s="8">
        <f t="shared" si="16"/>
        <v>299643.23999999993</v>
      </c>
      <c r="AC30" s="8">
        <f>AB30+AA30</f>
        <v>299643.23999999993</v>
      </c>
      <c r="AD30" s="8">
        <f t="shared" si="16"/>
        <v>0</v>
      </c>
      <c r="AE30" s="8">
        <f t="shared" si="16"/>
        <v>0</v>
      </c>
      <c r="AF30" s="8">
        <f t="shared" si="11"/>
        <v>0</v>
      </c>
      <c r="AG30" s="8">
        <f t="shared" si="16"/>
        <v>0</v>
      </c>
      <c r="AH30" s="8">
        <f t="shared" si="16"/>
        <v>0</v>
      </c>
      <c r="AI30" s="8">
        <f>AH30+AG30</f>
        <v>0</v>
      </c>
      <c r="AJ30" s="8">
        <f t="shared" si="16"/>
        <v>0</v>
      </c>
      <c r="AK30" s="8">
        <f t="shared" si="16"/>
        <v>0</v>
      </c>
      <c r="AL30" s="8">
        <f>AK30+AJ30</f>
        <v>0</v>
      </c>
      <c r="AM30" s="8">
        <f t="shared" si="16"/>
        <v>0</v>
      </c>
      <c r="AN30" s="8">
        <f t="shared" si="16"/>
        <v>3546523.8200000012</v>
      </c>
      <c r="AO30" s="8">
        <f t="shared" si="16"/>
        <v>3546523.8200000012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Q9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6640625" customWidth="1"/>
    <col min="5" max="5" width="11" customWidth="1"/>
    <col min="6" max="6" width="11.6640625" customWidth="1"/>
    <col min="7" max="8" width="12.109375" customWidth="1"/>
    <col min="9" max="9" width="11.109375" customWidth="1"/>
    <col min="10" max="10" width="11.6640625" customWidth="1"/>
    <col min="11" max="11" width="11.5546875" customWidth="1"/>
    <col min="12" max="12" width="12.44140625" customWidth="1"/>
    <col min="13" max="14" width="10.6640625" customWidth="1"/>
    <col min="15" max="15" width="13.5546875" customWidth="1"/>
    <col min="16" max="16" width="11.88671875" customWidth="1"/>
    <col min="17" max="17" width="12.33203125" customWidth="1"/>
    <col min="18" max="18" width="13.5546875" customWidth="1"/>
    <col min="19" max="19" width="12.33203125" customWidth="1"/>
    <col min="20" max="20" width="12.109375" customWidth="1"/>
    <col min="21" max="21" width="12.33203125" customWidth="1"/>
    <col min="22" max="22" width="11" customWidth="1"/>
    <col min="23" max="23" width="10.5546875" customWidth="1"/>
    <col min="24" max="24" width="11.44140625" customWidth="1"/>
    <col min="25" max="25" width="11.5546875" customWidth="1"/>
    <col min="26" max="26" width="12.6640625" customWidth="1"/>
    <col min="27" max="27" width="11.44140625" customWidth="1"/>
    <col min="28" max="28" width="11.5546875" customWidth="1"/>
    <col min="29" max="29" width="11.6640625" customWidth="1"/>
    <col min="30" max="30" width="11.44140625" customWidth="1"/>
    <col min="31" max="31" width="11.33203125" customWidth="1"/>
    <col min="32" max="32" width="10.6640625" customWidth="1"/>
    <col min="33" max="34" width="11.33203125" customWidth="1"/>
    <col min="35" max="35" width="10.44140625" customWidth="1"/>
    <col min="36" max="36" width="11.88671875" customWidth="1"/>
    <col min="37" max="37" width="11.6640625" customWidth="1"/>
    <col min="38" max="38" width="12.109375" customWidth="1"/>
    <col min="39" max="39" width="13.109375" customWidth="1"/>
    <col min="40" max="40" width="12.109375" customWidth="1"/>
    <col min="41" max="41" width="12.332031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289127.92</v>
      </c>
      <c r="E9" s="4">
        <f>D9+C9</f>
        <v>289127.92</v>
      </c>
      <c r="F9" s="4"/>
      <c r="G9" s="4">
        <v>299431.44</v>
      </c>
      <c r="H9" s="4">
        <f>G9+F9</f>
        <v>299431.44</v>
      </c>
      <c r="I9" s="4"/>
      <c r="J9" s="4">
        <v>302081.28999999998</v>
      </c>
      <c r="K9" s="4">
        <f>J9+I9</f>
        <v>302081.28999999998</v>
      </c>
      <c r="L9" s="4"/>
      <c r="M9" s="4">
        <v>286992.25</v>
      </c>
      <c r="N9" s="4">
        <f>M9+L9</f>
        <v>286992.25</v>
      </c>
      <c r="O9" s="4"/>
      <c r="P9" s="3">
        <v>291169.68</v>
      </c>
      <c r="Q9" s="4">
        <f>P9+O9</f>
        <v>291169.68</v>
      </c>
      <c r="R9" s="3"/>
      <c r="S9" s="4">
        <v>310528.2</v>
      </c>
      <c r="T9" s="4">
        <f>S9+R9</f>
        <v>310528.2</v>
      </c>
      <c r="U9" s="3"/>
      <c r="V9" s="4">
        <v>278565.28000000003</v>
      </c>
      <c r="W9" s="4">
        <f>V9+U9</f>
        <v>278565.28000000003</v>
      </c>
      <c r="X9" s="3"/>
      <c r="Y9" s="3">
        <v>232825.41</v>
      </c>
      <c r="Z9" s="4">
        <f>Y9+X9</f>
        <v>232825.41</v>
      </c>
      <c r="AA9" s="3"/>
      <c r="AB9" s="3">
        <v>290441.81</v>
      </c>
      <c r="AC9" s="4">
        <f>AB9+AA9</f>
        <v>290441.81</v>
      </c>
      <c r="AD9" s="3"/>
      <c r="AE9" s="3"/>
      <c r="AF9" s="4">
        <f>AD9+AE9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 t="shared" ref="AM9:AM29" si="0">AJ9+AG9+AD9+AA9+X9+U9+R9+O9+L9+I9+F9+C9</f>
        <v>0</v>
      </c>
      <c r="AN9" s="4">
        <f t="shared" ref="AN9:AO27" si="1">AK9+AH9+AE9+AB9+Y9+V9+S9+P9+M9+J9+G9+D9</f>
        <v>2581163.2799999998</v>
      </c>
      <c r="AO9" s="4">
        <f t="shared" si="1"/>
        <v>2581163.2799999998</v>
      </c>
    </row>
    <row r="10" spans="1:41" ht="20.100000000000001" customHeight="1">
      <c r="A10" s="3">
        <v>2120</v>
      </c>
      <c r="B10" s="3" t="s">
        <v>1</v>
      </c>
      <c r="C10" s="4"/>
      <c r="D10" s="4">
        <v>68217.67</v>
      </c>
      <c r="E10" s="4">
        <f t="shared" ref="E10:E29" si="2">D10+C10</f>
        <v>68217.67</v>
      </c>
      <c r="F10" s="4"/>
      <c r="G10" s="4">
        <v>69290.539999999994</v>
      </c>
      <c r="H10" s="4">
        <f t="shared" ref="H10:H29" si="3">G10+F10</f>
        <v>69290.539999999994</v>
      </c>
      <c r="I10" s="4"/>
      <c r="J10" s="4">
        <v>68419.899999999994</v>
      </c>
      <c r="K10" s="4">
        <f t="shared" ref="K10:K29" si="4">J10+I10</f>
        <v>68419.899999999994</v>
      </c>
      <c r="L10" s="4"/>
      <c r="M10" s="4">
        <v>64273.32</v>
      </c>
      <c r="N10" s="4">
        <f t="shared" ref="N10:N29" si="5">M10+L10</f>
        <v>64273.32</v>
      </c>
      <c r="O10" s="4"/>
      <c r="P10" s="3">
        <v>65084.75</v>
      </c>
      <c r="Q10" s="4">
        <f t="shared" ref="Q10:Q29" si="6">P10+O10</f>
        <v>65084.75</v>
      </c>
      <c r="R10" s="3"/>
      <c r="S10" s="3">
        <v>69523.41</v>
      </c>
      <c r="T10" s="4">
        <f t="shared" ref="T10:T29" si="7">S10+R10</f>
        <v>69523.41</v>
      </c>
      <c r="U10" s="3"/>
      <c r="V10" s="3">
        <v>60215.83</v>
      </c>
      <c r="W10" s="4">
        <f t="shared" ref="W10:W29" si="8">V10+U10</f>
        <v>60215.83</v>
      </c>
      <c r="X10" s="4"/>
      <c r="Y10" s="3">
        <v>53395.67</v>
      </c>
      <c r="Z10" s="4">
        <f t="shared" ref="Z10:Z30" si="9">Y10+X10</f>
        <v>53395.67</v>
      </c>
      <c r="AA10" s="3"/>
      <c r="AB10" s="3">
        <v>63533.07</v>
      </c>
      <c r="AC10" s="4">
        <f t="shared" ref="AC10:AC29" si="10">AB10+AA10</f>
        <v>63533.07</v>
      </c>
      <c r="AD10" s="4"/>
      <c r="AE10" s="3"/>
      <c r="AF10" s="4">
        <f t="shared" ref="AF10:AF30" si="11">AD10+AE10</f>
        <v>0</v>
      </c>
      <c r="AG10" s="3"/>
      <c r="AH10" s="3"/>
      <c r="AI10" s="4">
        <f t="shared" ref="AI10:AI29" si="12">AH10+AG10</f>
        <v>0</v>
      </c>
      <c r="AJ10" s="3"/>
      <c r="AK10" s="3"/>
      <c r="AL10" s="4">
        <f t="shared" ref="AL10:AL29" si="13">AK10+AJ10</f>
        <v>0</v>
      </c>
      <c r="AM10" s="4">
        <f t="shared" si="0"/>
        <v>0</v>
      </c>
      <c r="AN10" s="4">
        <f t="shared" si="1"/>
        <v>581954.15999999992</v>
      </c>
      <c r="AO10" s="4">
        <f t="shared" si="1"/>
        <v>581954.15999999992</v>
      </c>
    </row>
    <row r="11" spans="1:41" ht="20.100000000000001" customHeight="1">
      <c r="A11" s="3">
        <v>2210</v>
      </c>
      <c r="B11" s="3" t="s">
        <v>2</v>
      </c>
      <c r="C11" s="4"/>
      <c r="D11" s="4">
        <v>773.12</v>
      </c>
      <c r="E11" s="4">
        <f t="shared" si="2"/>
        <v>773.12</v>
      </c>
      <c r="F11" s="4"/>
      <c r="G11" s="4">
        <v>954.18</v>
      </c>
      <c r="H11" s="4">
        <f t="shared" si="3"/>
        <v>954.18</v>
      </c>
      <c r="I11" s="4"/>
      <c r="J11" s="4">
        <v>810.72</v>
      </c>
      <c r="K11" s="4">
        <f t="shared" si="4"/>
        <v>810.72</v>
      </c>
      <c r="L11" s="4"/>
      <c r="M11" s="4">
        <v>677.75</v>
      </c>
      <c r="N11" s="4">
        <f t="shared" si="5"/>
        <v>677.75</v>
      </c>
      <c r="O11" s="8"/>
      <c r="P11" s="3">
        <v>1088.44</v>
      </c>
      <c r="Q11" s="4">
        <f t="shared" si="6"/>
        <v>1088.44</v>
      </c>
      <c r="R11" s="3"/>
      <c r="S11" s="3">
        <v>508.44</v>
      </c>
      <c r="T11" s="4">
        <f t="shared" si="7"/>
        <v>508.44</v>
      </c>
      <c r="U11" s="3"/>
      <c r="V11" s="3"/>
      <c r="W11" s="4">
        <f t="shared" si="8"/>
        <v>0</v>
      </c>
      <c r="X11" s="3"/>
      <c r="Y11" s="3">
        <v>453.1</v>
      </c>
      <c r="Z11" s="4">
        <f t="shared" si="9"/>
        <v>453.1</v>
      </c>
      <c r="AA11" s="3"/>
      <c r="AB11" s="3">
        <v>1197.45</v>
      </c>
      <c r="AC11" s="4">
        <f t="shared" si="10"/>
        <v>1197.45</v>
      </c>
      <c r="AD11" s="3"/>
      <c r="AE11" s="4"/>
      <c r="AF11" s="4">
        <f t="shared" si="11"/>
        <v>0</v>
      </c>
      <c r="AG11" s="3"/>
      <c r="AH11" s="3"/>
      <c r="AI11" s="4">
        <f t="shared" si="12"/>
        <v>0</v>
      </c>
      <c r="AJ11" s="3"/>
      <c r="AK11" s="3"/>
      <c r="AL11" s="4">
        <f t="shared" si="13"/>
        <v>0</v>
      </c>
      <c r="AM11" s="4">
        <f t="shared" si="0"/>
        <v>0</v>
      </c>
      <c r="AN11" s="4">
        <f t="shared" si="1"/>
        <v>6463.2000000000007</v>
      </c>
      <c r="AO11" s="4">
        <f t="shared" si="1"/>
        <v>6463.2000000000007</v>
      </c>
    </row>
    <row r="12" spans="1:41" ht="20.100000000000001" customHeight="1">
      <c r="A12" s="3">
        <v>2220</v>
      </c>
      <c r="B12" s="3" t="s">
        <v>3</v>
      </c>
      <c r="C12" s="4"/>
      <c r="D12" s="4"/>
      <c r="E12" s="4">
        <f t="shared" si="2"/>
        <v>0</v>
      </c>
      <c r="F12" s="4"/>
      <c r="G12" s="4"/>
      <c r="H12" s="4">
        <f t="shared" si="3"/>
        <v>0</v>
      </c>
      <c r="I12" s="4"/>
      <c r="J12" s="4"/>
      <c r="K12" s="4">
        <f t="shared" si="4"/>
        <v>0</v>
      </c>
      <c r="L12" s="4"/>
      <c r="M12" s="4"/>
      <c r="N12" s="4">
        <f t="shared" si="5"/>
        <v>0</v>
      </c>
      <c r="O12" s="8"/>
      <c r="P12" s="3"/>
      <c r="Q12" s="4">
        <f t="shared" si="6"/>
        <v>0</v>
      </c>
      <c r="R12" s="3"/>
      <c r="S12" s="3"/>
      <c r="T12" s="4">
        <f t="shared" si="7"/>
        <v>0</v>
      </c>
      <c r="U12" s="3"/>
      <c r="V12" s="3"/>
      <c r="W12" s="4">
        <f t="shared" si="8"/>
        <v>0</v>
      </c>
      <c r="X12" s="3"/>
      <c r="Y12" s="3"/>
      <c r="Z12" s="4">
        <f t="shared" si="9"/>
        <v>0</v>
      </c>
      <c r="AA12" s="3"/>
      <c r="AB12" s="3"/>
      <c r="AC12" s="4">
        <f t="shared" si="10"/>
        <v>0</v>
      </c>
      <c r="AD12" s="3"/>
      <c r="AE12" s="4"/>
      <c r="AF12" s="4">
        <f t="shared" si="11"/>
        <v>0</v>
      </c>
      <c r="AG12" s="3"/>
      <c r="AH12" s="4"/>
      <c r="AI12" s="4">
        <f t="shared" si="12"/>
        <v>0</v>
      </c>
      <c r="AJ12" s="3"/>
      <c r="AK12" s="3"/>
      <c r="AL12" s="4">
        <f t="shared" si="13"/>
        <v>0</v>
      </c>
      <c r="AM12" s="4">
        <f t="shared" si="0"/>
        <v>0</v>
      </c>
      <c r="AN12" s="4">
        <f t="shared" si="1"/>
        <v>0</v>
      </c>
      <c r="AO12" s="4">
        <f t="shared" si="1"/>
        <v>0</v>
      </c>
    </row>
    <row r="13" spans="1:41" ht="20.100000000000001" customHeight="1">
      <c r="A13" s="3">
        <v>2230</v>
      </c>
      <c r="B13" s="3" t="s">
        <v>4</v>
      </c>
      <c r="C13" s="4"/>
      <c r="D13" s="4">
        <v>8800.2900000000009</v>
      </c>
      <c r="E13" s="4">
        <f t="shared" si="2"/>
        <v>8800.2900000000009</v>
      </c>
      <c r="F13" s="4"/>
      <c r="G13" s="4">
        <v>18352.96</v>
      </c>
      <c r="H13" s="4">
        <f t="shared" si="3"/>
        <v>18352.96</v>
      </c>
      <c r="I13" s="4"/>
      <c r="J13" s="4">
        <v>15951.59</v>
      </c>
      <c r="K13" s="4">
        <f t="shared" si="4"/>
        <v>15951.59</v>
      </c>
      <c r="L13" s="4"/>
      <c r="M13" s="4">
        <v>22802.17</v>
      </c>
      <c r="N13" s="4">
        <f t="shared" si="5"/>
        <v>22802.17</v>
      </c>
      <c r="O13" s="4"/>
      <c r="P13" s="4">
        <v>21151.79</v>
      </c>
      <c r="Q13" s="4">
        <f t="shared" si="6"/>
        <v>21151.79</v>
      </c>
      <c r="R13" s="3"/>
      <c r="S13" s="3"/>
      <c r="T13" s="4">
        <f t="shared" si="7"/>
        <v>0</v>
      </c>
      <c r="U13" s="3"/>
      <c r="V13" s="3"/>
      <c r="W13" s="4">
        <f t="shared" si="8"/>
        <v>0</v>
      </c>
      <c r="X13" s="3"/>
      <c r="Y13" s="3"/>
      <c r="Z13" s="4">
        <f t="shared" si="9"/>
        <v>0</v>
      </c>
      <c r="AA13" s="3"/>
      <c r="AB13" s="4">
        <v>26300.65</v>
      </c>
      <c r="AC13" s="4">
        <f t="shared" si="10"/>
        <v>26300.65</v>
      </c>
      <c r="AD13" s="3"/>
      <c r="AE13" s="3"/>
      <c r="AF13" s="4">
        <f t="shared" si="11"/>
        <v>0</v>
      </c>
      <c r="AG13" s="3"/>
      <c r="AH13" s="4"/>
      <c r="AI13" s="4">
        <f t="shared" si="12"/>
        <v>0</v>
      </c>
      <c r="AJ13" s="3"/>
      <c r="AK13" s="3"/>
      <c r="AL13" s="4">
        <f t="shared" si="13"/>
        <v>0</v>
      </c>
      <c r="AM13" s="4">
        <f t="shared" si="0"/>
        <v>0</v>
      </c>
      <c r="AN13" s="4">
        <f t="shared" si="1"/>
        <v>113359.45000000001</v>
      </c>
      <c r="AO13" s="4">
        <f t="shared" si="1"/>
        <v>113359.45000000001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2"/>
        <v>0</v>
      </c>
      <c r="F14" s="4"/>
      <c r="G14" s="4">
        <f>513.33+10000+2797.95</f>
        <v>13311.279999999999</v>
      </c>
      <c r="H14" s="4">
        <f t="shared" si="3"/>
        <v>13311.279999999999</v>
      </c>
      <c r="I14" s="4"/>
      <c r="J14" s="4">
        <f>16783.72+3619.28+513.33</f>
        <v>20916.330000000002</v>
      </c>
      <c r="K14" s="4">
        <f t="shared" si="4"/>
        <v>20916.330000000002</v>
      </c>
      <c r="L14" s="4"/>
      <c r="M14" s="4">
        <f>513.33+212916.86+5874.28</f>
        <v>219304.46999999997</v>
      </c>
      <c r="N14" s="4">
        <f t="shared" si="5"/>
        <v>219304.46999999997</v>
      </c>
      <c r="O14" s="4"/>
      <c r="P14" s="3">
        <f>8307.42+9349.28+513.33</f>
        <v>18170.030000000002</v>
      </c>
      <c r="Q14" s="4">
        <f t="shared" si="6"/>
        <v>18170.030000000002</v>
      </c>
      <c r="R14" s="3"/>
      <c r="S14" s="3">
        <f>210648.16+819.28+513.33</f>
        <v>211980.77</v>
      </c>
      <c r="T14" s="4">
        <f t="shared" si="7"/>
        <v>211980.77</v>
      </c>
      <c r="U14" s="3"/>
      <c r="V14" s="3">
        <f>26034.85+3049.28+513.33</f>
        <v>29597.46</v>
      </c>
      <c r="W14" s="4">
        <f t="shared" si="8"/>
        <v>29597.46</v>
      </c>
      <c r="X14" s="3"/>
      <c r="Y14" s="3">
        <f>513.33+81419.4+9866.28</f>
        <v>91799.01</v>
      </c>
      <c r="Z14" s="4">
        <f t="shared" si="9"/>
        <v>91799.01</v>
      </c>
      <c r="AA14" s="3"/>
      <c r="AB14" s="3">
        <f>564881.41+819.28+513.33</f>
        <v>566214.02</v>
      </c>
      <c r="AC14" s="4">
        <f t="shared" si="10"/>
        <v>566214.02</v>
      </c>
      <c r="AD14" s="3"/>
      <c r="AE14" s="4"/>
      <c r="AF14" s="4">
        <f t="shared" si="11"/>
        <v>0</v>
      </c>
      <c r="AG14" s="3"/>
      <c r="AH14" s="3"/>
      <c r="AI14" s="4">
        <f t="shared" si="12"/>
        <v>0</v>
      </c>
      <c r="AJ14" s="3"/>
      <c r="AK14" s="3"/>
      <c r="AL14" s="4">
        <f t="shared" si="13"/>
        <v>0</v>
      </c>
      <c r="AM14" s="4">
        <f t="shared" si="0"/>
        <v>0</v>
      </c>
      <c r="AN14" s="4">
        <f t="shared" si="1"/>
        <v>1171293.3700000001</v>
      </c>
      <c r="AO14" s="4">
        <f t="shared" si="1"/>
        <v>1171293.3700000001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2"/>
        <v>0</v>
      </c>
      <c r="F15" s="4"/>
      <c r="G15" s="4"/>
      <c r="H15" s="4">
        <f t="shared" si="3"/>
        <v>0</v>
      </c>
      <c r="I15" s="4"/>
      <c r="J15" s="4"/>
      <c r="K15" s="4">
        <f t="shared" si="4"/>
        <v>0</v>
      </c>
      <c r="L15" s="4"/>
      <c r="M15" s="4"/>
      <c r="N15" s="4">
        <f t="shared" si="5"/>
        <v>0</v>
      </c>
      <c r="O15" s="8"/>
      <c r="P15" s="3"/>
      <c r="Q15" s="4">
        <f t="shared" si="6"/>
        <v>0</v>
      </c>
      <c r="R15" s="3"/>
      <c r="S15" s="3"/>
      <c r="T15" s="4">
        <f t="shared" si="7"/>
        <v>0</v>
      </c>
      <c r="U15" s="3"/>
      <c r="V15" s="3"/>
      <c r="W15" s="4">
        <f t="shared" si="8"/>
        <v>0</v>
      </c>
      <c r="X15" s="3"/>
      <c r="Y15" s="3"/>
      <c r="Z15" s="4">
        <f t="shared" si="9"/>
        <v>0</v>
      </c>
      <c r="AA15" s="3"/>
      <c r="AB15" s="4"/>
      <c r="AC15" s="4">
        <f t="shared" si="10"/>
        <v>0</v>
      </c>
      <c r="AD15" s="3"/>
      <c r="AE15" s="3"/>
      <c r="AF15" s="4">
        <f t="shared" si="11"/>
        <v>0</v>
      </c>
      <c r="AG15" s="3"/>
      <c r="AH15" s="3"/>
      <c r="AI15" s="4">
        <f t="shared" si="12"/>
        <v>0</v>
      </c>
      <c r="AJ15" s="3"/>
      <c r="AK15" s="3"/>
      <c r="AL15" s="4">
        <f t="shared" si="13"/>
        <v>0</v>
      </c>
      <c r="AM15" s="4">
        <f t="shared" si="0"/>
        <v>0</v>
      </c>
      <c r="AN15" s="4">
        <f t="shared" si="1"/>
        <v>0</v>
      </c>
      <c r="AO15" s="4">
        <f t="shared" si="1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2"/>
        <v>0</v>
      </c>
      <c r="F16" s="4"/>
      <c r="G16" s="4"/>
      <c r="H16" s="4">
        <f t="shared" si="3"/>
        <v>0</v>
      </c>
      <c r="I16" s="4"/>
      <c r="J16" s="4"/>
      <c r="K16" s="4">
        <f t="shared" si="4"/>
        <v>0</v>
      </c>
      <c r="L16" s="4"/>
      <c r="M16" s="4"/>
      <c r="N16" s="4">
        <f t="shared" si="5"/>
        <v>0</v>
      </c>
      <c r="O16" s="8"/>
      <c r="P16" s="3"/>
      <c r="Q16" s="4">
        <f t="shared" si="6"/>
        <v>0</v>
      </c>
      <c r="R16" s="3"/>
      <c r="S16" s="3"/>
      <c r="T16" s="4">
        <f t="shared" si="7"/>
        <v>0</v>
      </c>
      <c r="U16" s="3"/>
      <c r="V16" s="3"/>
      <c r="W16" s="4">
        <f t="shared" si="8"/>
        <v>0</v>
      </c>
      <c r="X16" s="3"/>
      <c r="Y16" s="3"/>
      <c r="Z16" s="4">
        <f t="shared" si="9"/>
        <v>0</v>
      </c>
      <c r="AA16" s="3"/>
      <c r="AB16" s="4"/>
      <c r="AC16" s="4">
        <f t="shared" si="10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0"/>
        <v>0</v>
      </c>
      <c r="AN16" s="4">
        <f t="shared" si="1"/>
        <v>0</v>
      </c>
      <c r="AO16" s="4">
        <f t="shared" si="1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2"/>
        <v>0</v>
      </c>
      <c r="F17" s="4"/>
      <c r="G17" s="4">
        <f>451555.51+123451.99+149343.3</f>
        <v>724350.8</v>
      </c>
      <c r="H17" s="4">
        <f t="shared" si="3"/>
        <v>724350.8</v>
      </c>
      <c r="I17" s="4"/>
      <c r="J17" s="4">
        <f>343906.97+375527.1+69416.35</f>
        <v>788850.41999999993</v>
      </c>
      <c r="K17" s="4">
        <f t="shared" si="4"/>
        <v>788850.41999999993</v>
      </c>
      <c r="L17" s="4"/>
      <c r="M17" s="4">
        <f>251314.29+27326.82</f>
        <v>278641.11</v>
      </c>
      <c r="N17" s="4">
        <f t="shared" si="5"/>
        <v>278641.11</v>
      </c>
      <c r="O17" s="4"/>
      <c r="P17" s="3"/>
      <c r="Q17" s="4">
        <f t="shared" si="6"/>
        <v>0</v>
      </c>
      <c r="R17" s="3"/>
      <c r="S17" s="3"/>
      <c r="T17" s="4">
        <f t="shared" si="7"/>
        <v>0</v>
      </c>
      <c r="U17" s="3"/>
      <c r="V17" s="3"/>
      <c r="W17" s="4">
        <f t="shared" si="8"/>
        <v>0</v>
      </c>
      <c r="X17" s="3"/>
      <c r="Y17" s="3"/>
      <c r="Z17" s="4">
        <f t="shared" si="9"/>
        <v>0</v>
      </c>
      <c r="AA17" s="3"/>
      <c r="AB17" s="4"/>
      <c r="AC17" s="4">
        <f t="shared" si="10"/>
        <v>0</v>
      </c>
      <c r="AD17" s="3"/>
      <c r="AE17" s="3"/>
      <c r="AF17" s="4">
        <f t="shared" si="11"/>
        <v>0</v>
      </c>
      <c r="AG17" s="3"/>
      <c r="AH17" s="4"/>
      <c r="AI17" s="4">
        <f t="shared" si="12"/>
        <v>0</v>
      </c>
      <c r="AJ17" s="3"/>
      <c r="AK17" s="4"/>
      <c r="AL17" s="4">
        <f t="shared" si="13"/>
        <v>0</v>
      </c>
      <c r="AM17" s="4">
        <f t="shared" si="0"/>
        <v>0</v>
      </c>
      <c r="AN17" s="4">
        <f t="shared" si="1"/>
        <v>1791842.3299999998</v>
      </c>
      <c r="AO17" s="4">
        <f t="shared" si="1"/>
        <v>1791842.3299999998</v>
      </c>
    </row>
    <row r="18" spans="1:41" ht="20.100000000000001" customHeight="1">
      <c r="A18" s="3">
        <v>2272</v>
      </c>
      <c r="B18" s="3" t="s">
        <v>9</v>
      </c>
      <c r="C18" s="4"/>
      <c r="D18" s="4">
        <f>6420.96+5150.88</f>
        <v>11571.84</v>
      </c>
      <c r="E18" s="4">
        <f t="shared" si="2"/>
        <v>11571.84</v>
      </c>
      <c r="F18" s="4"/>
      <c r="G18" s="4">
        <f>7408.8+5292</f>
        <v>12700.8</v>
      </c>
      <c r="H18" s="4">
        <f t="shared" si="3"/>
        <v>12700.8</v>
      </c>
      <c r="I18" s="4"/>
      <c r="J18" s="4">
        <f>8608.32-211.68</f>
        <v>8396.64</v>
      </c>
      <c r="K18" s="4">
        <f t="shared" si="4"/>
        <v>8396.64</v>
      </c>
      <c r="L18" s="4"/>
      <c r="M18" s="4">
        <f>5997.6-211.68</f>
        <v>5785.92</v>
      </c>
      <c r="N18" s="4">
        <f t="shared" si="5"/>
        <v>5785.92</v>
      </c>
      <c r="O18" s="4"/>
      <c r="P18" s="3">
        <f>7832.16-211.68</f>
        <v>7620.48</v>
      </c>
      <c r="Q18" s="4">
        <f t="shared" si="6"/>
        <v>7620.48</v>
      </c>
      <c r="R18" s="3"/>
      <c r="S18" s="3">
        <f>6399.68+2518.27</f>
        <v>8917.9500000000007</v>
      </c>
      <c r="T18" s="4">
        <f t="shared" si="7"/>
        <v>8917.9500000000007</v>
      </c>
      <c r="U18" s="3"/>
      <c r="V18" s="3">
        <f>5178.89-235.4</f>
        <v>4943.4900000000007</v>
      </c>
      <c r="W18" s="4">
        <f t="shared" si="8"/>
        <v>4943.4900000000007</v>
      </c>
      <c r="X18" s="3"/>
      <c r="Y18" s="3">
        <f>3844.93</f>
        <v>3844.93</v>
      </c>
      <c r="Z18" s="4">
        <f t="shared" si="9"/>
        <v>3844.93</v>
      </c>
      <c r="AA18" s="3"/>
      <c r="AB18" s="3">
        <f>4865.02-156.94</f>
        <v>4708.0800000000008</v>
      </c>
      <c r="AC18" s="4">
        <f t="shared" si="10"/>
        <v>4708.0800000000008</v>
      </c>
      <c r="AD18" s="3"/>
      <c r="AE18" s="3"/>
      <c r="AF18" s="4">
        <f t="shared" si="11"/>
        <v>0</v>
      </c>
      <c r="AG18" s="3"/>
      <c r="AH18" s="4"/>
      <c r="AI18" s="4">
        <f t="shared" si="12"/>
        <v>0</v>
      </c>
      <c r="AJ18" s="3"/>
      <c r="AK18" s="4"/>
      <c r="AL18" s="4">
        <f t="shared" si="13"/>
        <v>0</v>
      </c>
      <c r="AM18" s="4">
        <f t="shared" si="0"/>
        <v>0</v>
      </c>
      <c r="AN18" s="4">
        <f t="shared" si="1"/>
        <v>68490.12999999999</v>
      </c>
      <c r="AO18" s="4">
        <f t="shared" si="1"/>
        <v>68490.12999999999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2"/>
        <v>0</v>
      </c>
      <c r="F19" s="4"/>
      <c r="G19" s="4">
        <f>58442.88+49730.19</f>
        <v>108173.07</v>
      </c>
      <c r="H19" s="4">
        <f t="shared" si="3"/>
        <v>108173.07</v>
      </c>
      <c r="I19" s="4"/>
      <c r="J19" s="4">
        <f>97971.42-3063.65</f>
        <v>94907.77</v>
      </c>
      <c r="K19" s="4">
        <f t="shared" si="4"/>
        <v>94907.77</v>
      </c>
      <c r="L19" s="4"/>
      <c r="M19" s="4">
        <f>82170.78-2401.01</f>
        <v>79769.77</v>
      </c>
      <c r="N19" s="4">
        <f t="shared" si="5"/>
        <v>79769.77</v>
      </c>
      <c r="O19" s="4"/>
      <c r="P19" s="3">
        <f>67100.81</f>
        <v>67100.81</v>
      </c>
      <c r="Q19" s="4">
        <f t="shared" si="6"/>
        <v>67100.81</v>
      </c>
      <c r="R19" s="3"/>
      <c r="S19" s="3">
        <f>59629.95+6297.28</f>
        <v>65927.23</v>
      </c>
      <c r="T19" s="4">
        <f t="shared" si="7"/>
        <v>65927.23</v>
      </c>
      <c r="U19" s="3"/>
      <c r="V19" s="3">
        <f>38687.8+628.1</f>
        <v>39315.9</v>
      </c>
      <c r="W19" s="4">
        <f t="shared" si="8"/>
        <v>39315.9</v>
      </c>
      <c r="X19" s="3"/>
      <c r="Y19" s="3">
        <f>27517.78-46.5</f>
        <v>27471.279999999999</v>
      </c>
      <c r="Z19" s="4">
        <f t="shared" si="9"/>
        <v>27471.279999999999</v>
      </c>
      <c r="AA19" s="3"/>
      <c r="AB19" s="3">
        <f>39770.53-150.87</f>
        <v>39619.659999999996</v>
      </c>
      <c r="AC19" s="4">
        <f t="shared" si="10"/>
        <v>39619.659999999996</v>
      </c>
      <c r="AD19" s="3"/>
      <c r="AE19" s="3"/>
      <c r="AF19" s="4">
        <f t="shared" si="11"/>
        <v>0</v>
      </c>
      <c r="AG19" s="3"/>
      <c r="AH19" s="4"/>
      <c r="AI19" s="4">
        <f t="shared" si="12"/>
        <v>0</v>
      </c>
      <c r="AJ19" s="3"/>
      <c r="AK19" s="3"/>
      <c r="AL19" s="4">
        <f t="shared" si="13"/>
        <v>0</v>
      </c>
      <c r="AM19" s="4">
        <f t="shared" si="0"/>
        <v>0</v>
      </c>
      <c r="AN19" s="4">
        <f t="shared" si="1"/>
        <v>522285.49000000005</v>
      </c>
      <c r="AO19" s="4">
        <f t="shared" si="1"/>
        <v>522285.49000000005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2"/>
        <v>0</v>
      </c>
      <c r="F20" s="4"/>
      <c r="G20" s="4"/>
      <c r="H20" s="4">
        <f t="shared" si="3"/>
        <v>0</v>
      </c>
      <c r="I20" s="4"/>
      <c r="J20" s="4"/>
      <c r="K20" s="4">
        <f t="shared" si="4"/>
        <v>0</v>
      </c>
      <c r="L20" s="4"/>
      <c r="M20" s="4"/>
      <c r="N20" s="4">
        <f t="shared" si="5"/>
        <v>0</v>
      </c>
      <c r="O20" s="8"/>
      <c r="P20" s="3"/>
      <c r="Q20" s="4">
        <f t="shared" si="6"/>
        <v>0</v>
      </c>
      <c r="R20" s="3"/>
      <c r="S20" s="3"/>
      <c r="T20" s="4">
        <f t="shared" si="7"/>
        <v>0</v>
      </c>
      <c r="U20" s="3"/>
      <c r="V20" s="3"/>
      <c r="W20" s="4">
        <f t="shared" si="8"/>
        <v>0</v>
      </c>
      <c r="X20" s="3"/>
      <c r="Y20" s="3"/>
      <c r="Z20" s="4">
        <f t="shared" si="9"/>
        <v>0</v>
      </c>
      <c r="AA20" s="3"/>
      <c r="AB20" s="4"/>
      <c r="AC20" s="4">
        <f t="shared" si="10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3"/>
      <c r="AL20" s="4">
        <f t="shared" si="13"/>
        <v>0</v>
      </c>
      <c r="AM20" s="4">
        <f t="shared" si="0"/>
        <v>0</v>
      </c>
      <c r="AN20" s="4">
        <f t="shared" si="1"/>
        <v>0</v>
      </c>
      <c r="AO20" s="4">
        <f t="shared" si="1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1507.52</v>
      </c>
      <c r="E21" s="4">
        <f t="shared" si="2"/>
        <v>1507.52</v>
      </c>
      <c r="F21" s="4"/>
      <c r="G21" s="4">
        <f>3722.01+251.51</f>
        <v>3973.5200000000004</v>
      </c>
      <c r="H21" s="4">
        <f t="shared" si="3"/>
        <v>3973.5200000000004</v>
      </c>
      <c r="I21" s="4"/>
      <c r="J21" s="4">
        <f>2096.16-10.51</f>
        <v>2085.6499999999996</v>
      </c>
      <c r="K21" s="4">
        <f t="shared" si="4"/>
        <v>2085.6499999999996</v>
      </c>
      <c r="L21" s="4"/>
      <c r="M21" s="4">
        <f>1431.73-10.51</f>
        <v>1421.22</v>
      </c>
      <c r="N21" s="4">
        <f t="shared" si="5"/>
        <v>1421.22</v>
      </c>
      <c r="O21" s="8"/>
      <c r="P21" s="3">
        <f>2411.98+6989.49</f>
        <v>9401.4699999999993</v>
      </c>
      <c r="Q21" s="4">
        <f t="shared" si="6"/>
        <v>9401.4699999999993</v>
      </c>
      <c r="R21" s="3"/>
      <c r="S21" s="3">
        <f>2096.16-10.51</f>
        <v>2085.6499999999996</v>
      </c>
      <c r="T21" s="4">
        <f t="shared" si="7"/>
        <v>2085.6499999999996</v>
      </c>
      <c r="U21" s="3"/>
      <c r="V21" s="3">
        <f>2358.18+41.89</f>
        <v>2400.0699999999997</v>
      </c>
      <c r="W21" s="4">
        <f t="shared" si="8"/>
        <v>2400.0699999999997</v>
      </c>
      <c r="X21" s="3"/>
      <c r="Y21" s="3">
        <f>3436.29-15.31</f>
        <v>3420.98</v>
      </c>
      <c r="Z21" s="4">
        <f t="shared" si="9"/>
        <v>3420.98</v>
      </c>
      <c r="AA21" s="3"/>
      <c r="AB21" s="3">
        <f>3490.09-15.31</f>
        <v>3474.78</v>
      </c>
      <c r="AC21" s="4">
        <f t="shared" si="10"/>
        <v>3474.78</v>
      </c>
      <c r="AD21" s="3"/>
      <c r="AE21" s="3"/>
      <c r="AF21" s="4">
        <f t="shared" si="11"/>
        <v>0</v>
      </c>
      <c r="AG21" s="3"/>
      <c r="AH21" s="3"/>
      <c r="AI21" s="4">
        <f t="shared" si="12"/>
        <v>0</v>
      </c>
      <c r="AJ21" s="3"/>
      <c r="AK21" s="4"/>
      <c r="AL21" s="4">
        <f t="shared" si="13"/>
        <v>0</v>
      </c>
      <c r="AM21" s="4">
        <f t="shared" si="0"/>
        <v>0</v>
      </c>
      <c r="AN21" s="4">
        <f t="shared" si="1"/>
        <v>29770.86</v>
      </c>
      <c r="AO21" s="4">
        <f t="shared" si="1"/>
        <v>29770.86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2"/>
        <v>0</v>
      </c>
      <c r="F22" s="4"/>
      <c r="G22" s="4"/>
      <c r="H22" s="4">
        <f t="shared" si="3"/>
        <v>0</v>
      </c>
      <c r="I22" s="4"/>
      <c r="J22" s="4"/>
      <c r="K22" s="4">
        <f t="shared" si="4"/>
        <v>0</v>
      </c>
      <c r="L22" s="4"/>
      <c r="M22" s="4"/>
      <c r="N22" s="4">
        <f t="shared" si="5"/>
        <v>0</v>
      </c>
      <c r="O22" s="8"/>
      <c r="P22" s="3"/>
      <c r="Q22" s="4">
        <f t="shared" si="6"/>
        <v>0</v>
      </c>
      <c r="R22" s="3"/>
      <c r="S22" s="3">
        <v>600</v>
      </c>
      <c r="T22" s="4">
        <f t="shared" si="7"/>
        <v>600</v>
      </c>
      <c r="U22" s="3"/>
      <c r="V22" s="3"/>
      <c r="W22" s="4">
        <f t="shared" si="8"/>
        <v>0</v>
      </c>
      <c r="X22" s="3"/>
      <c r="Y22" s="3">
        <v>640</v>
      </c>
      <c r="Z22" s="4">
        <f t="shared" si="9"/>
        <v>640</v>
      </c>
      <c r="AA22" s="3"/>
      <c r="AB22" s="4"/>
      <c r="AC22" s="4">
        <f t="shared" si="10"/>
        <v>0</v>
      </c>
      <c r="AD22" s="3"/>
      <c r="AE22" s="3"/>
      <c r="AF22" s="4">
        <f t="shared" si="11"/>
        <v>0</v>
      </c>
      <c r="AG22" s="3"/>
      <c r="AH22" s="3"/>
      <c r="AI22" s="4">
        <f t="shared" si="12"/>
        <v>0</v>
      </c>
      <c r="AJ22" s="3"/>
      <c r="AK22" s="3"/>
      <c r="AL22" s="4">
        <f t="shared" si="13"/>
        <v>0</v>
      </c>
      <c r="AM22" s="4">
        <f t="shared" si="0"/>
        <v>0</v>
      </c>
      <c r="AN22" s="4">
        <f t="shared" si="1"/>
        <v>1240</v>
      </c>
      <c r="AO22" s="4">
        <f t="shared" si="1"/>
        <v>1240</v>
      </c>
    </row>
    <row r="23" spans="1:41" ht="27.7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8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32.25" customHeight="1">
      <c r="A24" s="3">
        <v>2800</v>
      </c>
      <c r="B24" s="3" t="s">
        <v>44</v>
      </c>
      <c r="C24" s="4"/>
      <c r="D24" s="4"/>
      <c r="E24" s="4">
        <f t="shared" si="2"/>
        <v>0</v>
      </c>
      <c r="F24" s="4"/>
      <c r="G24" s="4"/>
      <c r="H24" s="4">
        <f t="shared" si="3"/>
        <v>0</v>
      </c>
      <c r="I24" s="4"/>
      <c r="J24" s="4"/>
      <c r="K24" s="4">
        <f t="shared" si="4"/>
        <v>0</v>
      </c>
      <c r="L24" s="4"/>
      <c r="M24" s="4"/>
      <c r="N24" s="4">
        <f t="shared" si="5"/>
        <v>0</v>
      </c>
      <c r="O24" s="4"/>
      <c r="P24" s="4"/>
      <c r="Q24" s="4">
        <f t="shared" si="6"/>
        <v>0</v>
      </c>
      <c r="R24" s="4"/>
      <c r="S24" s="4"/>
      <c r="T24" s="4">
        <f t="shared" si="7"/>
        <v>0</v>
      </c>
      <c r="U24" s="4"/>
      <c r="V24" s="4"/>
      <c r="W24" s="4">
        <f t="shared" si="8"/>
        <v>0</v>
      </c>
      <c r="X24" s="4"/>
      <c r="Y24" s="4">
        <v>12723.72</v>
      </c>
      <c r="Z24" s="4">
        <f t="shared" si="9"/>
        <v>12723.72</v>
      </c>
      <c r="AA24" s="4"/>
      <c r="AB24" s="4"/>
      <c r="AC24" s="4">
        <f t="shared" si="10"/>
        <v>0</v>
      </c>
      <c r="AD24" s="4"/>
      <c r="AE24" s="4"/>
      <c r="AF24" s="4">
        <f t="shared" ref="AF24" si="14">AE24+AD24</f>
        <v>0</v>
      </c>
      <c r="AG24" s="4"/>
      <c r="AH24" s="4"/>
      <c r="AI24" s="4">
        <f t="shared" si="12"/>
        <v>0</v>
      </c>
      <c r="AJ24" s="4"/>
      <c r="AK24" s="4"/>
      <c r="AL24" s="4">
        <f t="shared" si="13"/>
        <v>0</v>
      </c>
      <c r="AM24" s="4">
        <f t="shared" ref="AM24" si="15">AL24+AK24</f>
        <v>0</v>
      </c>
      <c r="AN24" s="4">
        <f t="shared" si="1"/>
        <v>12723.72</v>
      </c>
      <c r="AO24" s="4">
        <f t="shared" si="1"/>
        <v>12723.72</v>
      </c>
    </row>
    <row r="25" spans="1:41" ht="34.5" customHeight="1">
      <c r="A25" s="3">
        <v>3110</v>
      </c>
      <c r="B25" s="5" t="s">
        <v>15</v>
      </c>
      <c r="C25" s="4"/>
      <c r="D25" s="4"/>
      <c r="E25" s="4">
        <f t="shared" si="2"/>
        <v>0</v>
      </c>
      <c r="F25" s="4"/>
      <c r="G25" s="4"/>
      <c r="H25" s="4">
        <f t="shared" si="3"/>
        <v>0</v>
      </c>
      <c r="I25" s="4"/>
      <c r="J25" s="4"/>
      <c r="K25" s="4">
        <f t="shared" si="4"/>
        <v>0</v>
      </c>
      <c r="L25" s="4"/>
      <c r="M25" s="4"/>
      <c r="N25" s="4">
        <f t="shared" si="5"/>
        <v>0</v>
      </c>
      <c r="O25" s="8"/>
      <c r="P25" s="3"/>
      <c r="Q25" s="4">
        <f t="shared" si="6"/>
        <v>0</v>
      </c>
      <c r="R25" s="3"/>
      <c r="S25" s="3"/>
      <c r="T25" s="4">
        <f t="shared" si="7"/>
        <v>0</v>
      </c>
      <c r="U25" s="3"/>
      <c r="V25" s="3"/>
      <c r="W25" s="4">
        <f t="shared" si="8"/>
        <v>0</v>
      </c>
      <c r="X25" s="3"/>
      <c r="Y25" s="3"/>
      <c r="Z25" s="4">
        <f t="shared" si="9"/>
        <v>0</v>
      </c>
      <c r="AA25" s="3"/>
      <c r="AB25" s="4"/>
      <c r="AC25" s="4">
        <f t="shared" si="10"/>
        <v>0</v>
      </c>
      <c r="AD25" s="3"/>
      <c r="AE25" s="3"/>
      <c r="AF25" s="4">
        <f t="shared" si="11"/>
        <v>0</v>
      </c>
      <c r="AG25" s="3"/>
      <c r="AH25" s="3"/>
      <c r="AI25" s="4">
        <f t="shared" si="12"/>
        <v>0</v>
      </c>
      <c r="AJ25" s="3"/>
      <c r="AK25" s="3"/>
      <c r="AL25" s="4">
        <f t="shared" si="13"/>
        <v>0</v>
      </c>
      <c r="AM25" s="4">
        <f t="shared" si="0"/>
        <v>0</v>
      </c>
      <c r="AN25" s="4">
        <f t="shared" si="1"/>
        <v>0</v>
      </c>
      <c r="AO25" s="4">
        <f t="shared" si="1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2"/>
        <v>0</v>
      </c>
      <c r="F26" s="4"/>
      <c r="G26" s="4"/>
      <c r="H26" s="4">
        <f t="shared" si="3"/>
        <v>0</v>
      </c>
      <c r="I26" s="4"/>
      <c r="J26" s="4"/>
      <c r="K26" s="4">
        <f t="shared" si="4"/>
        <v>0</v>
      </c>
      <c r="L26" s="4"/>
      <c r="M26" s="4"/>
      <c r="N26" s="4">
        <f t="shared" si="5"/>
        <v>0</v>
      </c>
      <c r="O26" s="8"/>
      <c r="P26" s="3"/>
      <c r="Q26" s="4">
        <f t="shared" si="6"/>
        <v>0</v>
      </c>
      <c r="R26" s="3"/>
      <c r="S26" s="3"/>
      <c r="T26" s="4">
        <f t="shared" si="7"/>
        <v>0</v>
      </c>
      <c r="U26" s="3"/>
      <c r="V26" s="3"/>
      <c r="W26" s="4">
        <f t="shared" si="8"/>
        <v>0</v>
      </c>
      <c r="X26" s="3"/>
      <c r="Y26" s="3"/>
      <c r="Z26" s="4">
        <f t="shared" si="9"/>
        <v>0</v>
      </c>
      <c r="AA26" s="3"/>
      <c r="AB26" s="4"/>
      <c r="AC26" s="4">
        <f t="shared" si="10"/>
        <v>0</v>
      </c>
      <c r="AD26" s="3"/>
      <c r="AE26" s="3"/>
      <c r="AF26" s="4">
        <f t="shared" si="11"/>
        <v>0</v>
      </c>
      <c r="AG26" s="3"/>
      <c r="AH26" s="3"/>
      <c r="AI26" s="4">
        <f t="shared" si="12"/>
        <v>0</v>
      </c>
      <c r="AJ26" s="3"/>
      <c r="AK26" s="3"/>
      <c r="AL26" s="4">
        <f t="shared" si="13"/>
        <v>0</v>
      </c>
      <c r="AM26" s="4">
        <f t="shared" si="0"/>
        <v>0</v>
      </c>
      <c r="AN26" s="4">
        <f t="shared" si="1"/>
        <v>0</v>
      </c>
      <c r="AO26" s="4">
        <f t="shared" si="1"/>
        <v>0</v>
      </c>
    </row>
    <row r="27" spans="1:41" ht="34.5" customHeight="1">
      <c r="A27" s="6"/>
      <c r="B27" s="5"/>
      <c r="C27" s="4"/>
      <c r="D27" s="4"/>
      <c r="E27" s="4">
        <f t="shared" si="2"/>
        <v>0</v>
      </c>
      <c r="F27" s="4"/>
      <c r="G27" s="4"/>
      <c r="H27" s="4">
        <f t="shared" si="3"/>
        <v>0</v>
      </c>
      <c r="I27" s="4"/>
      <c r="J27" s="4"/>
      <c r="K27" s="4">
        <f t="shared" si="4"/>
        <v>0</v>
      </c>
      <c r="L27" s="4"/>
      <c r="M27" s="4"/>
      <c r="N27" s="4">
        <f t="shared" si="5"/>
        <v>0</v>
      </c>
      <c r="O27" s="8"/>
      <c r="P27" s="3"/>
      <c r="Q27" s="4">
        <f t="shared" si="6"/>
        <v>0</v>
      </c>
      <c r="R27" s="3"/>
      <c r="S27" s="3"/>
      <c r="T27" s="4">
        <f t="shared" si="7"/>
        <v>0</v>
      </c>
      <c r="U27" s="3"/>
      <c r="V27" s="3"/>
      <c r="W27" s="4">
        <f t="shared" si="8"/>
        <v>0</v>
      </c>
      <c r="X27" s="3"/>
      <c r="Y27" s="3"/>
      <c r="Z27" s="4">
        <f t="shared" si="9"/>
        <v>0</v>
      </c>
      <c r="AA27" s="3"/>
      <c r="AB27" s="4"/>
      <c r="AC27" s="4">
        <f t="shared" si="10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0"/>
        <v>0</v>
      </c>
      <c r="AN27" s="4">
        <f t="shared" si="1"/>
        <v>0</v>
      </c>
      <c r="AO27" s="4">
        <f t="shared" si="1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2"/>
        <v>0</v>
      </c>
      <c r="F28" s="4"/>
      <c r="G28" s="4"/>
      <c r="H28" s="4">
        <f t="shared" si="3"/>
        <v>0</v>
      </c>
      <c r="I28" s="4"/>
      <c r="J28" s="4"/>
      <c r="K28" s="4">
        <f t="shared" si="4"/>
        <v>0</v>
      </c>
      <c r="L28" s="4"/>
      <c r="M28" s="4"/>
      <c r="N28" s="4">
        <f t="shared" si="5"/>
        <v>0</v>
      </c>
      <c r="O28" s="8"/>
      <c r="P28" s="3"/>
      <c r="Q28" s="4">
        <f t="shared" si="6"/>
        <v>0</v>
      </c>
      <c r="R28" s="3"/>
      <c r="S28" s="3"/>
      <c r="T28" s="4">
        <f t="shared" si="7"/>
        <v>0</v>
      </c>
      <c r="U28" s="3"/>
      <c r="V28" s="3"/>
      <c r="W28" s="4">
        <f t="shared" si="8"/>
        <v>0</v>
      </c>
      <c r="X28" s="3"/>
      <c r="Y28" s="3"/>
      <c r="Z28" s="4">
        <f t="shared" si="9"/>
        <v>0</v>
      </c>
      <c r="AA28" s="3"/>
      <c r="AB28" s="4"/>
      <c r="AC28" s="4">
        <f t="shared" si="10"/>
        <v>0</v>
      </c>
      <c r="AD28" s="3"/>
      <c r="AE28" s="3"/>
      <c r="AF28" s="4">
        <f t="shared" si="11"/>
        <v>0</v>
      </c>
      <c r="AG28" s="3"/>
      <c r="AH28" s="3"/>
      <c r="AI28" s="4">
        <f t="shared" si="12"/>
        <v>0</v>
      </c>
      <c r="AJ28" s="3"/>
      <c r="AK28" s="3"/>
      <c r="AL28" s="4">
        <f t="shared" si="13"/>
        <v>0</v>
      </c>
      <c r="AM28" s="4">
        <f t="shared" si="0"/>
        <v>0</v>
      </c>
      <c r="AN28" s="4">
        <f>AK28+AH28+AE28+AB28+Y28+V28+S28+P28+M28+J28+G28+D28</f>
        <v>0</v>
      </c>
      <c r="AO28" s="4">
        <f>AL28+AI28+AF28+AC28+Z28+W28+T28+Q28+N28+K28+H28+E28</f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2"/>
        <v>0</v>
      </c>
      <c r="F29" s="4"/>
      <c r="G29" s="4">
        <v>1516</v>
      </c>
      <c r="H29" s="4">
        <f t="shared" si="3"/>
        <v>1516</v>
      </c>
      <c r="I29" s="4"/>
      <c r="J29" s="4">
        <v>1516</v>
      </c>
      <c r="K29" s="4">
        <f t="shared" si="4"/>
        <v>1516</v>
      </c>
      <c r="L29" s="4"/>
      <c r="M29" s="4">
        <v>2441</v>
      </c>
      <c r="N29" s="4">
        <f t="shared" si="5"/>
        <v>2441</v>
      </c>
      <c r="O29" s="8"/>
      <c r="P29" s="3">
        <v>1516</v>
      </c>
      <c r="Q29" s="4">
        <f t="shared" si="6"/>
        <v>1516</v>
      </c>
      <c r="R29" s="3"/>
      <c r="S29" s="3">
        <v>1516</v>
      </c>
      <c r="T29" s="4">
        <f t="shared" si="7"/>
        <v>1516</v>
      </c>
      <c r="U29" s="3"/>
      <c r="V29" s="3">
        <v>2441</v>
      </c>
      <c r="W29" s="4">
        <f t="shared" si="8"/>
        <v>2441</v>
      </c>
      <c r="X29" s="3"/>
      <c r="Y29" s="3">
        <v>1516</v>
      </c>
      <c r="Z29" s="4">
        <f t="shared" si="9"/>
        <v>1516</v>
      </c>
      <c r="AA29" s="3"/>
      <c r="AB29" s="4">
        <v>1516</v>
      </c>
      <c r="AC29" s="4">
        <f t="shared" si="10"/>
        <v>1516</v>
      </c>
      <c r="AD29" s="3"/>
      <c r="AE29" s="3"/>
      <c r="AF29" s="4">
        <f t="shared" si="11"/>
        <v>0</v>
      </c>
      <c r="AG29" s="3"/>
      <c r="AH29" s="3"/>
      <c r="AI29" s="4">
        <f t="shared" si="12"/>
        <v>0</v>
      </c>
      <c r="AJ29" s="3"/>
      <c r="AK29" s="3"/>
      <c r="AL29" s="4">
        <f t="shared" si="13"/>
        <v>0</v>
      </c>
      <c r="AM29" s="4">
        <f t="shared" si="0"/>
        <v>0</v>
      </c>
      <c r="AN29" s="4">
        <f>AK29+AH29+AE29+AB29+Y29+V29+S29+P29+M29+J29+G29+D29</f>
        <v>13978</v>
      </c>
      <c r="AO29" s="4">
        <f>AL29+AI29+AF29+AC29+Z29+W29+T29+Q29+N29+K29+H29+E29</f>
        <v>13978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16">SUM(D9:D28)</f>
        <v>379998.36</v>
      </c>
      <c r="E30" s="8">
        <f t="shared" si="16"/>
        <v>379998.36</v>
      </c>
      <c r="F30" s="8">
        <f t="shared" si="16"/>
        <v>0</v>
      </c>
      <c r="G30" s="8">
        <f>SUM(G9:G29)</f>
        <v>1252054.5900000003</v>
      </c>
      <c r="H30" s="8">
        <f>SUM(H9:H29)</f>
        <v>1252054.5900000003</v>
      </c>
      <c r="I30" s="8">
        <f t="shared" si="16"/>
        <v>0</v>
      </c>
      <c r="J30" s="8">
        <f t="shared" si="16"/>
        <v>1302420.3099999998</v>
      </c>
      <c r="K30" s="8">
        <f>J30+I30</f>
        <v>1302420.3099999998</v>
      </c>
      <c r="L30" s="8">
        <f t="shared" si="16"/>
        <v>0</v>
      </c>
      <c r="M30" s="8">
        <f t="shared" si="16"/>
        <v>959667.98</v>
      </c>
      <c r="N30" s="8">
        <f>M30+L30</f>
        <v>959667.98</v>
      </c>
      <c r="O30" s="8">
        <f t="shared" si="16"/>
        <v>0</v>
      </c>
      <c r="P30" s="8">
        <f t="shared" si="16"/>
        <v>480787.44999999995</v>
      </c>
      <c r="Q30" s="8">
        <f>P30+O30</f>
        <v>480787.44999999995</v>
      </c>
      <c r="R30" s="8">
        <f t="shared" si="16"/>
        <v>0</v>
      </c>
      <c r="S30" s="8">
        <f t="shared" si="16"/>
        <v>670071.64999999991</v>
      </c>
      <c r="T30" s="8">
        <f>S30+R30</f>
        <v>670071.64999999991</v>
      </c>
      <c r="U30" s="8">
        <f t="shared" si="16"/>
        <v>0</v>
      </c>
      <c r="V30" s="8">
        <f t="shared" si="16"/>
        <v>415038.03000000009</v>
      </c>
      <c r="W30" s="8">
        <f>V30+U30</f>
        <v>415038.03000000009</v>
      </c>
      <c r="X30" s="8">
        <f t="shared" si="16"/>
        <v>0</v>
      </c>
      <c r="Y30" s="8">
        <f t="shared" si="16"/>
        <v>426574.1</v>
      </c>
      <c r="Z30" s="8">
        <f t="shared" si="9"/>
        <v>426574.1</v>
      </c>
      <c r="AA30" s="8">
        <f t="shared" si="16"/>
        <v>0</v>
      </c>
      <c r="AB30" s="8">
        <f t="shared" si="16"/>
        <v>995489.52</v>
      </c>
      <c r="AC30" s="8">
        <f>AB30+AA30</f>
        <v>995489.52</v>
      </c>
      <c r="AD30" s="8">
        <f t="shared" si="16"/>
        <v>0</v>
      </c>
      <c r="AE30" s="8">
        <f t="shared" si="16"/>
        <v>0</v>
      </c>
      <c r="AF30" s="4">
        <f t="shared" si="11"/>
        <v>0</v>
      </c>
      <c r="AG30" s="8">
        <f t="shared" si="16"/>
        <v>0</v>
      </c>
      <c r="AH30" s="8">
        <f t="shared" si="16"/>
        <v>0</v>
      </c>
      <c r="AI30" s="8">
        <f>AH30+AG30</f>
        <v>0</v>
      </c>
      <c r="AJ30" s="8">
        <f t="shared" si="16"/>
        <v>0</v>
      </c>
      <c r="AK30" s="8">
        <f t="shared" si="16"/>
        <v>0</v>
      </c>
      <c r="AL30" s="8">
        <f>AK30+AJ30</f>
        <v>0</v>
      </c>
      <c r="AM30" s="8">
        <f t="shared" si="16"/>
        <v>0</v>
      </c>
      <c r="AN30" s="8">
        <f t="shared" si="16"/>
        <v>6880585.9900000002</v>
      </c>
      <c r="AO30" s="8">
        <f t="shared" si="16"/>
        <v>6880585.9900000002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Q9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1" customWidth="1"/>
    <col min="5" max="5" width="10.5546875" customWidth="1"/>
    <col min="6" max="6" width="11.6640625" customWidth="1"/>
    <col min="7" max="7" width="10.88671875" customWidth="1"/>
    <col min="8" max="8" width="10.44140625" customWidth="1"/>
    <col min="9" max="9" width="11.109375" customWidth="1"/>
    <col min="10" max="10" width="11" customWidth="1"/>
    <col min="11" max="11" width="11.109375" customWidth="1"/>
    <col min="12" max="12" width="12.44140625" customWidth="1"/>
    <col min="13" max="13" width="10.6640625" customWidth="1"/>
    <col min="14" max="14" width="10.44140625" customWidth="1"/>
    <col min="15" max="15" width="13.5546875" customWidth="1"/>
    <col min="16" max="16" width="10.5546875" customWidth="1"/>
    <col min="17" max="17" width="11.33203125" customWidth="1"/>
    <col min="18" max="18" width="11.44140625" customWidth="1"/>
    <col min="19" max="19" width="10.88671875" customWidth="1"/>
    <col min="20" max="20" width="11.5546875" customWidth="1"/>
    <col min="21" max="21" width="12.33203125" customWidth="1"/>
    <col min="22" max="22" width="12" customWidth="1"/>
    <col min="23" max="23" width="11" customWidth="1"/>
    <col min="24" max="25" width="11.44140625" customWidth="1"/>
    <col min="26" max="26" width="13" customWidth="1"/>
    <col min="27" max="27" width="11.44140625" customWidth="1"/>
    <col min="28" max="28" width="10.44140625" customWidth="1"/>
    <col min="29" max="29" width="11" customWidth="1"/>
    <col min="30" max="30" width="11.44140625" customWidth="1"/>
    <col min="31" max="31" width="12" customWidth="1"/>
    <col min="32" max="33" width="11.33203125" customWidth="1"/>
    <col min="34" max="35" width="11.109375" customWidth="1"/>
    <col min="36" max="36" width="11.33203125" customWidth="1"/>
    <col min="37" max="37" width="11.6640625" customWidth="1"/>
    <col min="38" max="38" width="11.44140625" customWidth="1"/>
    <col min="39" max="39" width="14" customWidth="1"/>
    <col min="40" max="40" width="11.88671875" customWidth="1"/>
    <col min="41" max="41" width="12.88671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199878.75</v>
      </c>
      <c r="E9" s="4">
        <f>D9+C9</f>
        <v>199878.75</v>
      </c>
      <c r="F9" s="4"/>
      <c r="G9" s="4">
        <v>204192.94</v>
      </c>
      <c r="H9" s="4">
        <f>G9+F9</f>
        <v>204192.94</v>
      </c>
      <c r="I9" s="4"/>
      <c r="J9" s="4">
        <v>204856.43</v>
      </c>
      <c r="K9" s="4">
        <f>J9+I9</f>
        <v>204856.43</v>
      </c>
      <c r="L9" s="4"/>
      <c r="M9" s="4">
        <v>211793.43</v>
      </c>
      <c r="N9" s="4">
        <f>M9+L9</f>
        <v>211793.43</v>
      </c>
      <c r="O9" s="4"/>
      <c r="P9" s="3">
        <v>210304.74</v>
      </c>
      <c r="Q9" s="4">
        <f>P9+O9</f>
        <v>210304.74</v>
      </c>
      <c r="R9" s="3"/>
      <c r="S9" s="3">
        <v>253005.12</v>
      </c>
      <c r="T9" s="4">
        <f>S9+R9</f>
        <v>253005.12</v>
      </c>
      <c r="U9" s="3"/>
      <c r="V9" s="3">
        <v>201922.05</v>
      </c>
      <c r="W9" s="4">
        <f t="shared" ref="W9:W30" si="0">V9+U9</f>
        <v>201922.05</v>
      </c>
      <c r="X9" s="3"/>
      <c r="Y9" s="3">
        <v>178923.88</v>
      </c>
      <c r="Z9" s="4">
        <f t="shared" ref="Z9:Z30" si="1">Y9+X9</f>
        <v>178923.88</v>
      </c>
      <c r="AA9" s="3"/>
      <c r="AB9" s="3">
        <v>235955.27</v>
      </c>
      <c r="AC9" s="4">
        <f t="shared" ref="AC9:AC29" si="2">AB9+AA9</f>
        <v>235955.27</v>
      </c>
      <c r="AD9" s="3"/>
      <c r="AE9" s="3"/>
      <c r="AF9" s="4">
        <f>AD9+AE9</f>
        <v>0</v>
      </c>
      <c r="AG9" s="4"/>
      <c r="AH9" s="3"/>
      <c r="AI9" s="4">
        <f>AG9+AH9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 t="shared" ref="AN9:AN27" si="3">AK9+AH9+AE9+AB9+Y9+V9+S9+P9+M9+J9+G9+D9</f>
        <v>1900832.6099999999</v>
      </c>
      <c r="AO9" s="4">
        <f t="shared" ref="AO9:AO29" si="4">AL9+AI9+AF9+AC9+Z9+W9+T9+Q9+N9+K9+H9+E9</f>
        <v>1900832.6099999999</v>
      </c>
    </row>
    <row r="10" spans="1:41" ht="20.100000000000001" customHeight="1">
      <c r="A10" s="3">
        <v>2120</v>
      </c>
      <c r="B10" s="3" t="s">
        <v>1</v>
      </c>
      <c r="C10" s="4"/>
      <c r="D10" s="4">
        <v>45124.55</v>
      </c>
      <c r="E10" s="4">
        <f t="shared" ref="E10:E29" si="5">D10+C10</f>
        <v>45124.55</v>
      </c>
      <c r="F10" s="4"/>
      <c r="G10" s="4">
        <v>42276.04</v>
      </c>
      <c r="H10" s="4">
        <f t="shared" ref="H10:H29" si="6">G10+F10</f>
        <v>42276.04</v>
      </c>
      <c r="I10" s="4"/>
      <c r="J10" s="4">
        <v>47390.48</v>
      </c>
      <c r="K10" s="4">
        <f t="shared" ref="K10:K29" si="7">J10+I10</f>
        <v>47390.48</v>
      </c>
      <c r="L10" s="4"/>
      <c r="M10" s="4">
        <v>49219.69</v>
      </c>
      <c r="N10" s="4">
        <f t="shared" ref="N10:N29" si="8">M10+L10</f>
        <v>49219.69</v>
      </c>
      <c r="O10" s="3"/>
      <c r="P10" s="3">
        <v>47570.98</v>
      </c>
      <c r="Q10" s="4">
        <f t="shared" ref="Q10:Q29" si="9">P10+O10</f>
        <v>47570.98</v>
      </c>
      <c r="R10" s="3"/>
      <c r="S10" s="3">
        <v>54425.43</v>
      </c>
      <c r="T10" s="4">
        <f t="shared" ref="T10:T29" si="10">S10+R10</f>
        <v>54425.43</v>
      </c>
      <c r="U10" s="3"/>
      <c r="V10" s="3">
        <v>41651.300000000003</v>
      </c>
      <c r="W10" s="4">
        <f t="shared" si="0"/>
        <v>41651.300000000003</v>
      </c>
      <c r="X10" s="3"/>
      <c r="Y10" s="3">
        <v>42257.3</v>
      </c>
      <c r="Z10" s="4">
        <f t="shared" si="1"/>
        <v>42257.3</v>
      </c>
      <c r="AA10" s="3"/>
      <c r="AB10" s="3">
        <v>49017.67</v>
      </c>
      <c r="AC10" s="4">
        <f t="shared" si="2"/>
        <v>49017.67</v>
      </c>
      <c r="AD10" s="3"/>
      <c r="AE10" s="3"/>
      <c r="AF10" s="4">
        <f t="shared" ref="AF10:AF30" si="11">AD10+AE10</f>
        <v>0</v>
      </c>
      <c r="AG10" s="3"/>
      <c r="AH10" s="4"/>
      <c r="AI10" s="4">
        <f t="shared" ref="AI10:AI29" si="12">AG10+AH10</f>
        <v>0</v>
      </c>
      <c r="AJ10" s="3"/>
      <c r="AK10" s="3"/>
      <c r="AL10" s="4">
        <f t="shared" ref="AL10:AL29" si="13">AK10+AJ10</f>
        <v>0</v>
      </c>
      <c r="AM10" s="4">
        <f t="shared" ref="AM10:AN29" si="14">AJ10+AG10+AD10+AA10+X10+U10+R10+O10+L10+I10+F10+C10</f>
        <v>0</v>
      </c>
      <c r="AN10" s="4">
        <f t="shared" si="3"/>
        <v>418933.43999999994</v>
      </c>
      <c r="AO10" s="4">
        <f t="shared" si="4"/>
        <v>418933.43999999994</v>
      </c>
    </row>
    <row r="11" spans="1:41" ht="20.100000000000001" customHeight="1">
      <c r="A11" s="3">
        <v>2210</v>
      </c>
      <c r="B11" s="3" t="s">
        <v>2</v>
      </c>
      <c r="C11" s="4"/>
      <c r="D11" s="4">
        <v>1993.21</v>
      </c>
      <c r="E11" s="4">
        <f t="shared" si="5"/>
        <v>1993.21</v>
      </c>
      <c r="F11" s="4"/>
      <c r="G11" s="4">
        <v>1437.49</v>
      </c>
      <c r="H11" s="4">
        <f t="shared" si="6"/>
        <v>1437.49</v>
      </c>
      <c r="I11" s="4"/>
      <c r="J11" s="4">
        <v>548.46</v>
      </c>
      <c r="K11" s="4">
        <f t="shared" si="7"/>
        <v>548.46</v>
      </c>
      <c r="L11" s="4"/>
      <c r="M11" s="4">
        <v>625.96</v>
      </c>
      <c r="N11" s="4">
        <f t="shared" si="8"/>
        <v>625.96</v>
      </c>
      <c r="O11" s="8"/>
      <c r="P11" s="3">
        <v>1563.18</v>
      </c>
      <c r="Q11" s="4">
        <f t="shared" si="9"/>
        <v>1563.18</v>
      </c>
      <c r="R11" s="3"/>
      <c r="S11" s="3">
        <v>606.5</v>
      </c>
      <c r="T11" s="4">
        <f t="shared" si="10"/>
        <v>606.5</v>
      </c>
      <c r="U11" s="3"/>
      <c r="V11" s="3"/>
      <c r="W11" s="4">
        <f t="shared" si="0"/>
        <v>0</v>
      </c>
      <c r="X11" s="3"/>
      <c r="Y11" s="3">
        <v>1544.75</v>
      </c>
      <c r="Z11" s="4">
        <f t="shared" si="1"/>
        <v>1544.75</v>
      </c>
      <c r="AA11" s="3"/>
      <c r="AB11" s="4">
        <v>2172.5300000000002</v>
      </c>
      <c r="AC11" s="4">
        <f t="shared" si="2"/>
        <v>2172.5300000000002</v>
      </c>
      <c r="AD11" s="3"/>
      <c r="AE11" s="4"/>
      <c r="AF11" s="4">
        <f t="shared" si="11"/>
        <v>0</v>
      </c>
      <c r="AG11" s="3"/>
      <c r="AH11" s="3"/>
      <c r="AI11" s="4">
        <f t="shared" si="12"/>
        <v>0</v>
      </c>
      <c r="AJ11" s="3"/>
      <c r="AK11" s="4"/>
      <c r="AL11" s="4">
        <f t="shared" si="13"/>
        <v>0</v>
      </c>
      <c r="AM11" s="4">
        <f t="shared" si="14"/>
        <v>0</v>
      </c>
      <c r="AN11" s="4">
        <f t="shared" si="3"/>
        <v>10492.080000000002</v>
      </c>
      <c r="AO11" s="4">
        <f t="shared" si="4"/>
        <v>10492.080000000002</v>
      </c>
    </row>
    <row r="12" spans="1:41" ht="20.100000000000001" customHeight="1">
      <c r="A12" s="3">
        <v>2220</v>
      </c>
      <c r="B12" s="3" t="s">
        <v>3</v>
      </c>
      <c r="C12" s="4"/>
      <c r="D12" s="4">
        <v>888.66</v>
      </c>
      <c r="E12" s="4">
        <f t="shared" si="5"/>
        <v>888.66</v>
      </c>
      <c r="F12" s="4"/>
      <c r="G12" s="4">
        <v>906.18</v>
      </c>
      <c r="H12" s="4">
        <f t="shared" si="6"/>
        <v>906.18</v>
      </c>
      <c r="I12" s="4"/>
      <c r="J12" s="4">
        <v>892.9</v>
      </c>
      <c r="K12" s="4">
        <f t="shared" si="7"/>
        <v>892.9</v>
      </c>
      <c r="L12" s="4"/>
      <c r="M12" s="4">
        <v>874.8</v>
      </c>
      <c r="N12" s="4">
        <f t="shared" si="8"/>
        <v>874.8</v>
      </c>
      <c r="O12" s="8"/>
      <c r="P12" s="3">
        <v>1065.24</v>
      </c>
      <c r="Q12" s="4">
        <f t="shared" si="9"/>
        <v>1065.24</v>
      </c>
      <c r="R12" s="3"/>
      <c r="S12" s="3">
        <v>493.68</v>
      </c>
      <c r="T12" s="4">
        <f t="shared" si="10"/>
        <v>493.68</v>
      </c>
      <c r="U12" s="3"/>
      <c r="V12" s="3">
        <v>295.68</v>
      </c>
      <c r="W12" s="4">
        <f t="shared" si="0"/>
        <v>295.68</v>
      </c>
      <c r="X12" s="3"/>
      <c r="Y12" s="3">
        <v>1863.92</v>
      </c>
      <c r="Z12" s="4">
        <f t="shared" si="1"/>
        <v>1863.92</v>
      </c>
      <c r="AA12" s="3"/>
      <c r="AB12" s="3">
        <v>2168.16</v>
      </c>
      <c r="AC12" s="4">
        <f t="shared" si="2"/>
        <v>2168.16</v>
      </c>
      <c r="AD12" s="3"/>
      <c r="AE12" s="3"/>
      <c r="AF12" s="4">
        <f t="shared" si="11"/>
        <v>0</v>
      </c>
      <c r="AG12" s="3"/>
      <c r="AH12" s="3"/>
      <c r="AI12" s="4">
        <f t="shared" si="12"/>
        <v>0</v>
      </c>
      <c r="AJ12" s="3"/>
      <c r="AK12" s="4"/>
      <c r="AL12" s="4">
        <f t="shared" si="13"/>
        <v>0</v>
      </c>
      <c r="AM12" s="4">
        <f t="shared" si="14"/>
        <v>0</v>
      </c>
      <c r="AN12" s="4">
        <f t="shared" si="3"/>
        <v>9449.2199999999993</v>
      </c>
      <c r="AO12" s="4">
        <f t="shared" si="4"/>
        <v>9449.2199999999993</v>
      </c>
    </row>
    <row r="13" spans="1:41" ht="20.100000000000001" customHeight="1">
      <c r="A13" s="3">
        <v>2230</v>
      </c>
      <c r="B13" s="3" t="s">
        <v>4</v>
      </c>
      <c r="C13" s="4"/>
      <c r="D13" s="4">
        <v>6651.66</v>
      </c>
      <c r="E13" s="4">
        <f t="shared" si="5"/>
        <v>6651.66</v>
      </c>
      <c r="F13" s="4"/>
      <c r="G13" s="4">
        <v>12551.1</v>
      </c>
      <c r="H13" s="4">
        <f t="shared" si="6"/>
        <v>12551.1</v>
      </c>
      <c r="I13" s="4"/>
      <c r="J13" s="4">
        <v>11853.06</v>
      </c>
      <c r="K13" s="4">
        <f t="shared" si="7"/>
        <v>11853.06</v>
      </c>
      <c r="L13" s="4"/>
      <c r="M13" s="4">
        <v>14902.68</v>
      </c>
      <c r="N13" s="4">
        <f t="shared" si="8"/>
        <v>14902.68</v>
      </c>
      <c r="O13" s="4"/>
      <c r="P13" s="4">
        <v>12902.19</v>
      </c>
      <c r="Q13" s="4">
        <f t="shared" si="9"/>
        <v>12902.19</v>
      </c>
      <c r="R13" s="3"/>
      <c r="S13" s="3"/>
      <c r="T13" s="4">
        <f t="shared" si="10"/>
        <v>0</v>
      </c>
      <c r="U13" s="3"/>
      <c r="V13" s="3"/>
      <c r="W13" s="4">
        <f t="shared" si="0"/>
        <v>0</v>
      </c>
      <c r="X13" s="3"/>
      <c r="Y13" s="3"/>
      <c r="Z13" s="4">
        <f t="shared" si="1"/>
        <v>0</v>
      </c>
      <c r="AA13" s="3"/>
      <c r="AB13" s="3">
        <v>15892.96</v>
      </c>
      <c r="AC13" s="4">
        <f t="shared" si="2"/>
        <v>15892.96</v>
      </c>
      <c r="AD13" s="3"/>
      <c r="AE13" s="4"/>
      <c r="AF13" s="4">
        <f t="shared" si="11"/>
        <v>0</v>
      </c>
      <c r="AG13" s="3"/>
      <c r="AH13" s="3"/>
      <c r="AI13" s="4">
        <f t="shared" si="12"/>
        <v>0</v>
      </c>
      <c r="AJ13" s="3"/>
      <c r="AK13" s="3"/>
      <c r="AL13" s="4">
        <f t="shared" si="13"/>
        <v>0</v>
      </c>
      <c r="AM13" s="4">
        <f t="shared" si="14"/>
        <v>0</v>
      </c>
      <c r="AN13" s="4">
        <f t="shared" si="3"/>
        <v>74753.650000000009</v>
      </c>
      <c r="AO13" s="4">
        <f t="shared" si="4"/>
        <v>74753.650000000009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5"/>
        <v>0</v>
      </c>
      <c r="F14" s="4"/>
      <c r="G14" s="4">
        <f>150+7200</f>
        <v>7350</v>
      </c>
      <c r="H14" s="4">
        <f t="shared" si="6"/>
        <v>7350</v>
      </c>
      <c r="I14" s="4"/>
      <c r="J14" s="4">
        <f>14749.68+150</f>
        <v>14899.68</v>
      </c>
      <c r="K14" s="4">
        <f t="shared" si="7"/>
        <v>14899.68</v>
      </c>
      <c r="L14" s="4"/>
      <c r="M14" s="4">
        <f>150+16191.38</f>
        <v>16341.38</v>
      </c>
      <c r="N14" s="4">
        <f t="shared" si="8"/>
        <v>16341.38</v>
      </c>
      <c r="O14" s="4"/>
      <c r="P14" s="3">
        <f>9547.38+150</f>
        <v>9697.3799999999992</v>
      </c>
      <c r="Q14" s="4">
        <f t="shared" si="9"/>
        <v>9697.3799999999992</v>
      </c>
      <c r="R14" s="3"/>
      <c r="S14" s="3">
        <f>25119.24+150</f>
        <v>25269.24</v>
      </c>
      <c r="T14" s="4">
        <f t="shared" si="10"/>
        <v>25269.24</v>
      </c>
      <c r="U14" s="3"/>
      <c r="V14" s="3">
        <f>167937.22+150</f>
        <v>168087.22</v>
      </c>
      <c r="W14" s="4">
        <f t="shared" si="0"/>
        <v>168087.22</v>
      </c>
      <c r="X14" s="3"/>
      <c r="Y14" s="3">
        <f>150+13627.78</f>
        <v>13777.78</v>
      </c>
      <c r="Z14" s="4">
        <f t="shared" si="1"/>
        <v>13777.78</v>
      </c>
      <c r="AA14" s="3"/>
      <c r="AB14" s="3">
        <f>13334.38+150</f>
        <v>13484.38</v>
      </c>
      <c r="AC14" s="4">
        <f t="shared" si="2"/>
        <v>13484.38</v>
      </c>
      <c r="AD14" s="3"/>
      <c r="AE14" s="3"/>
      <c r="AF14" s="4">
        <f t="shared" si="11"/>
        <v>0</v>
      </c>
      <c r="AG14" s="3"/>
      <c r="AH14" s="3"/>
      <c r="AI14" s="4">
        <f t="shared" si="12"/>
        <v>0</v>
      </c>
      <c r="AJ14" s="3"/>
      <c r="AK14" s="4"/>
      <c r="AL14" s="4">
        <f t="shared" si="13"/>
        <v>0</v>
      </c>
      <c r="AM14" s="4">
        <f t="shared" si="14"/>
        <v>0</v>
      </c>
      <c r="AN14" s="4">
        <f t="shared" si="3"/>
        <v>268907.06</v>
      </c>
      <c r="AO14" s="4">
        <f t="shared" si="4"/>
        <v>268907.06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5"/>
        <v>0</v>
      </c>
      <c r="F15" s="4"/>
      <c r="G15" s="4"/>
      <c r="H15" s="4">
        <f t="shared" si="6"/>
        <v>0</v>
      </c>
      <c r="I15" s="4"/>
      <c r="J15" s="4"/>
      <c r="K15" s="4">
        <f t="shared" si="7"/>
        <v>0</v>
      </c>
      <c r="L15" s="4"/>
      <c r="M15" s="4"/>
      <c r="N15" s="4">
        <f t="shared" si="8"/>
        <v>0</v>
      </c>
      <c r="O15" s="8"/>
      <c r="P15" s="3"/>
      <c r="Q15" s="4">
        <f t="shared" si="9"/>
        <v>0</v>
      </c>
      <c r="R15" s="3"/>
      <c r="S15" s="3"/>
      <c r="T15" s="4">
        <f t="shared" si="10"/>
        <v>0</v>
      </c>
      <c r="U15" s="3"/>
      <c r="V15" s="3"/>
      <c r="W15" s="4">
        <f t="shared" si="0"/>
        <v>0</v>
      </c>
      <c r="X15" s="3"/>
      <c r="Y15" s="3"/>
      <c r="Z15" s="4">
        <f t="shared" si="1"/>
        <v>0</v>
      </c>
      <c r="AA15" s="3"/>
      <c r="AB15" s="4"/>
      <c r="AC15" s="4">
        <f t="shared" si="2"/>
        <v>0</v>
      </c>
      <c r="AD15" s="3"/>
      <c r="AE15" s="3"/>
      <c r="AF15" s="4">
        <f t="shared" si="11"/>
        <v>0</v>
      </c>
      <c r="AG15" s="3"/>
      <c r="AH15" s="3"/>
      <c r="AI15" s="4">
        <f t="shared" si="12"/>
        <v>0</v>
      </c>
      <c r="AJ15" s="3"/>
      <c r="AK15" s="3"/>
      <c r="AL15" s="4">
        <f t="shared" si="13"/>
        <v>0</v>
      </c>
      <c r="AM15" s="4">
        <f t="shared" si="14"/>
        <v>0</v>
      </c>
      <c r="AN15" s="4">
        <f t="shared" si="3"/>
        <v>0</v>
      </c>
      <c r="AO15" s="4">
        <f t="shared" si="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5"/>
        <v>0</v>
      </c>
      <c r="F16" s="4"/>
      <c r="G16" s="4"/>
      <c r="H16" s="4">
        <f t="shared" si="6"/>
        <v>0</v>
      </c>
      <c r="I16" s="4"/>
      <c r="J16" s="4"/>
      <c r="K16" s="4">
        <f t="shared" si="7"/>
        <v>0</v>
      </c>
      <c r="L16" s="4"/>
      <c r="M16" s="4"/>
      <c r="N16" s="4">
        <f t="shared" si="8"/>
        <v>0</v>
      </c>
      <c r="O16" s="8"/>
      <c r="P16" s="3"/>
      <c r="Q16" s="4">
        <f t="shared" si="9"/>
        <v>0</v>
      </c>
      <c r="R16" s="3"/>
      <c r="S16" s="3"/>
      <c r="T16" s="4">
        <f t="shared" si="10"/>
        <v>0</v>
      </c>
      <c r="U16" s="3"/>
      <c r="V16" s="3"/>
      <c r="W16" s="4">
        <f t="shared" si="0"/>
        <v>0</v>
      </c>
      <c r="X16" s="3"/>
      <c r="Y16" s="3"/>
      <c r="Z16" s="4">
        <f t="shared" si="1"/>
        <v>0</v>
      </c>
      <c r="AA16" s="3"/>
      <c r="AB16" s="4"/>
      <c r="AC16" s="4">
        <f t="shared" si="2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14"/>
        <v>0</v>
      </c>
      <c r="AN16" s="4">
        <f t="shared" si="3"/>
        <v>0</v>
      </c>
      <c r="AO16" s="4">
        <f t="shared" si="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5"/>
        <v>0</v>
      </c>
      <c r="F17" s="4"/>
      <c r="G17" s="4">
        <v>434588.45</v>
      </c>
      <c r="H17" s="4">
        <f t="shared" si="6"/>
        <v>434588.45</v>
      </c>
      <c r="I17" s="4"/>
      <c r="J17" s="4">
        <v>563651.67000000004</v>
      </c>
      <c r="K17" s="4">
        <f t="shared" si="7"/>
        <v>563651.67000000004</v>
      </c>
      <c r="L17" s="4"/>
      <c r="M17" s="4">
        <v>157490.29</v>
      </c>
      <c r="N17" s="4">
        <f t="shared" si="8"/>
        <v>157490.29</v>
      </c>
      <c r="O17" s="4"/>
      <c r="P17" s="3"/>
      <c r="Q17" s="4">
        <f t="shared" si="9"/>
        <v>0</v>
      </c>
      <c r="R17" s="3"/>
      <c r="S17" s="3"/>
      <c r="T17" s="4">
        <f t="shared" si="10"/>
        <v>0</v>
      </c>
      <c r="U17" s="3"/>
      <c r="V17" s="3"/>
      <c r="W17" s="4">
        <f t="shared" si="0"/>
        <v>0</v>
      </c>
      <c r="X17" s="3"/>
      <c r="Y17" s="3"/>
      <c r="Z17" s="4">
        <f t="shared" si="1"/>
        <v>0</v>
      </c>
      <c r="AA17" s="3"/>
      <c r="AB17" s="4"/>
      <c r="AC17" s="4">
        <f t="shared" si="2"/>
        <v>0</v>
      </c>
      <c r="AD17" s="3"/>
      <c r="AE17" s="3"/>
      <c r="AF17" s="4">
        <f t="shared" si="11"/>
        <v>0</v>
      </c>
      <c r="AG17" s="3"/>
      <c r="AH17" s="3"/>
      <c r="AI17" s="4">
        <f t="shared" si="12"/>
        <v>0</v>
      </c>
      <c r="AJ17" s="3"/>
      <c r="AK17" s="3"/>
      <c r="AL17" s="4">
        <f t="shared" si="13"/>
        <v>0</v>
      </c>
      <c r="AM17" s="4">
        <f t="shared" si="14"/>
        <v>0</v>
      </c>
      <c r="AN17" s="4">
        <f t="shared" si="3"/>
        <v>1155730.4100000001</v>
      </c>
      <c r="AO17" s="4">
        <f t="shared" si="4"/>
        <v>1155730.4100000001</v>
      </c>
    </row>
    <row r="18" spans="1:41" ht="20.100000000000001" customHeight="1">
      <c r="A18" s="3">
        <v>2272</v>
      </c>
      <c r="B18" s="3" t="s">
        <v>9</v>
      </c>
      <c r="C18" s="4"/>
      <c r="D18" s="4">
        <v>5574.24</v>
      </c>
      <c r="E18" s="4">
        <f t="shared" si="5"/>
        <v>5574.24</v>
      </c>
      <c r="F18" s="4"/>
      <c r="G18" s="4">
        <v>8749.44</v>
      </c>
      <c r="H18" s="4">
        <f t="shared" si="6"/>
        <v>8749.44</v>
      </c>
      <c r="I18" s="4"/>
      <c r="J18" s="4">
        <v>15523.2</v>
      </c>
      <c r="K18" s="4">
        <f t="shared" si="7"/>
        <v>15523.2</v>
      </c>
      <c r="L18" s="4"/>
      <c r="M18" s="4">
        <v>5150.88</v>
      </c>
      <c r="N18" s="4">
        <f t="shared" si="8"/>
        <v>5150.88</v>
      </c>
      <c r="O18" s="4"/>
      <c r="P18" s="3">
        <v>10090.08</v>
      </c>
      <c r="Q18" s="4">
        <f t="shared" si="9"/>
        <v>10090.08</v>
      </c>
      <c r="R18" s="3"/>
      <c r="S18" s="3">
        <v>7646.04</v>
      </c>
      <c r="T18" s="4">
        <f t="shared" si="10"/>
        <v>7646.04</v>
      </c>
      <c r="U18" s="3"/>
      <c r="V18" s="3">
        <v>3766.46</v>
      </c>
      <c r="W18" s="4">
        <f t="shared" si="0"/>
        <v>3766.46</v>
      </c>
      <c r="X18" s="3"/>
      <c r="Y18" s="3">
        <v>3138.72</v>
      </c>
      <c r="Z18" s="4">
        <f t="shared" si="1"/>
        <v>3138.72</v>
      </c>
      <c r="AA18" s="3"/>
      <c r="AB18" s="3">
        <v>6748.24</v>
      </c>
      <c r="AC18" s="4">
        <f t="shared" si="2"/>
        <v>6748.24</v>
      </c>
      <c r="AD18" s="3"/>
      <c r="AE18" s="3"/>
      <c r="AF18" s="4">
        <f t="shared" si="11"/>
        <v>0</v>
      </c>
      <c r="AG18" s="3"/>
      <c r="AH18" s="3"/>
      <c r="AI18" s="4">
        <f t="shared" si="12"/>
        <v>0</v>
      </c>
      <c r="AJ18" s="3"/>
      <c r="AK18" s="3"/>
      <c r="AL18" s="4">
        <f t="shared" si="13"/>
        <v>0</v>
      </c>
      <c r="AM18" s="4">
        <f t="shared" si="14"/>
        <v>0</v>
      </c>
      <c r="AN18" s="4">
        <f t="shared" si="3"/>
        <v>66387.3</v>
      </c>
      <c r="AO18" s="4">
        <f t="shared" si="4"/>
        <v>66387.3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5"/>
        <v>0</v>
      </c>
      <c r="F19" s="4"/>
      <c r="G19" s="4">
        <v>71568.479999999996</v>
      </c>
      <c r="H19" s="4">
        <f t="shared" si="6"/>
        <v>71568.479999999996</v>
      </c>
      <c r="I19" s="4"/>
      <c r="J19" s="4">
        <v>83511.56</v>
      </c>
      <c r="K19" s="4">
        <f t="shared" si="7"/>
        <v>83511.56</v>
      </c>
      <c r="L19" s="4"/>
      <c r="M19" s="4">
        <v>48737.18</v>
      </c>
      <c r="N19" s="4">
        <f t="shared" si="8"/>
        <v>48737.18</v>
      </c>
      <c r="O19" s="4"/>
      <c r="P19" s="3">
        <v>53982.27</v>
      </c>
      <c r="Q19" s="4">
        <f t="shared" si="9"/>
        <v>53982.27</v>
      </c>
      <c r="R19" s="3"/>
      <c r="S19" s="3">
        <v>47104.58</v>
      </c>
      <c r="T19" s="4">
        <f t="shared" si="10"/>
        <v>47104.58</v>
      </c>
      <c r="U19" s="3"/>
      <c r="V19" s="3">
        <v>9466.17</v>
      </c>
      <c r="W19" s="4">
        <f t="shared" si="0"/>
        <v>9466.17</v>
      </c>
      <c r="X19" s="3"/>
      <c r="Y19" s="3">
        <v>7811.74</v>
      </c>
      <c r="Z19" s="4">
        <f t="shared" si="1"/>
        <v>7811.74</v>
      </c>
      <c r="AA19" s="3"/>
      <c r="AB19" s="3">
        <v>4398.32</v>
      </c>
      <c r="AC19" s="4">
        <f t="shared" si="2"/>
        <v>4398.32</v>
      </c>
      <c r="AD19" s="3"/>
      <c r="AE19" s="3"/>
      <c r="AF19" s="4">
        <f t="shared" si="11"/>
        <v>0</v>
      </c>
      <c r="AG19" s="3"/>
      <c r="AH19" s="3"/>
      <c r="AI19" s="4">
        <f t="shared" si="12"/>
        <v>0</v>
      </c>
      <c r="AJ19" s="3"/>
      <c r="AK19" s="3"/>
      <c r="AL19" s="4">
        <f t="shared" si="13"/>
        <v>0</v>
      </c>
      <c r="AM19" s="4">
        <f t="shared" si="14"/>
        <v>0</v>
      </c>
      <c r="AN19" s="4">
        <f t="shared" si="3"/>
        <v>326580.3</v>
      </c>
      <c r="AO19" s="4">
        <f t="shared" si="4"/>
        <v>326580.3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5"/>
        <v>0</v>
      </c>
      <c r="F20" s="4"/>
      <c r="G20" s="4"/>
      <c r="H20" s="4">
        <f t="shared" si="6"/>
        <v>0</v>
      </c>
      <c r="I20" s="4"/>
      <c r="J20" s="4"/>
      <c r="K20" s="4">
        <f t="shared" si="7"/>
        <v>0</v>
      </c>
      <c r="L20" s="4"/>
      <c r="M20" s="4"/>
      <c r="N20" s="4">
        <f t="shared" si="8"/>
        <v>0</v>
      </c>
      <c r="O20" s="4"/>
      <c r="P20" s="3"/>
      <c r="Q20" s="4">
        <f t="shared" si="9"/>
        <v>0</v>
      </c>
      <c r="R20" s="3"/>
      <c r="S20" s="3"/>
      <c r="T20" s="4">
        <f t="shared" si="10"/>
        <v>0</v>
      </c>
      <c r="U20" s="3"/>
      <c r="V20" s="3"/>
      <c r="W20" s="4">
        <f t="shared" si="0"/>
        <v>0</v>
      </c>
      <c r="X20" s="3"/>
      <c r="Y20" s="3"/>
      <c r="Z20" s="4">
        <f t="shared" si="1"/>
        <v>0</v>
      </c>
      <c r="AA20" s="3"/>
      <c r="AB20" s="4"/>
      <c r="AC20" s="4">
        <f t="shared" si="2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3"/>
      <c r="AL20" s="4">
        <f t="shared" si="13"/>
        <v>0</v>
      </c>
      <c r="AM20" s="4">
        <f t="shared" si="14"/>
        <v>0</v>
      </c>
      <c r="AN20" s="4">
        <f t="shared" si="3"/>
        <v>0</v>
      </c>
      <c r="AO20" s="4">
        <f t="shared" si="4"/>
        <v>0</v>
      </c>
    </row>
    <row r="21" spans="1:41" ht="20.100000000000001" customHeight="1">
      <c r="A21" s="3">
        <v>2275</v>
      </c>
      <c r="B21" s="3" t="s">
        <v>12</v>
      </c>
      <c r="C21" s="4"/>
      <c r="D21" s="4"/>
      <c r="E21" s="4">
        <f t="shared" si="5"/>
        <v>0</v>
      </c>
      <c r="F21" s="4"/>
      <c r="G21" s="4">
        <v>2358.1799999999998</v>
      </c>
      <c r="H21" s="4">
        <f t="shared" si="6"/>
        <v>2358.1799999999998</v>
      </c>
      <c r="I21" s="4"/>
      <c r="J21" s="4">
        <v>2122.9499999999998</v>
      </c>
      <c r="K21" s="4">
        <f t="shared" si="7"/>
        <v>2122.9499999999998</v>
      </c>
      <c r="L21" s="4"/>
      <c r="M21" s="4">
        <v>2358.1799999999998</v>
      </c>
      <c r="N21" s="4">
        <f t="shared" si="8"/>
        <v>2358.1799999999998</v>
      </c>
      <c r="O21" s="4"/>
      <c r="P21" s="3">
        <v>16384.97</v>
      </c>
      <c r="Q21" s="4">
        <f t="shared" si="9"/>
        <v>16384.97</v>
      </c>
      <c r="R21" s="3"/>
      <c r="S21" s="3">
        <v>1834.14</v>
      </c>
      <c r="T21" s="4">
        <f t="shared" si="10"/>
        <v>1834.14</v>
      </c>
      <c r="U21" s="3"/>
      <c r="V21" s="3">
        <v>7958.18</v>
      </c>
      <c r="W21" s="4">
        <f t="shared" si="0"/>
        <v>7958.18</v>
      </c>
      <c r="X21" s="3"/>
      <c r="Y21" s="3">
        <v>9736.2900000000009</v>
      </c>
      <c r="Z21" s="4">
        <f t="shared" si="1"/>
        <v>9736.2900000000009</v>
      </c>
      <c r="AA21" s="3"/>
      <c r="AB21" s="3">
        <v>3365.89</v>
      </c>
      <c r="AC21" s="4">
        <f t="shared" si="2"/>
        <v>3365.89</v>
      </c>
      <c r="AD21" s="3"/>
      <c r="AE21" s="3"/>
      <c r="AF21" s="4">
        <f t="shared" si="11"/>
        <v>0</v>
      </c>
      <c r="AG21" s="3"/>
      <c r="AH21" s="3"/>
      <c r="AI21" s="4">
        <f t="shared" si="12"/>
        <v>0</v>
      </c>
      <c r="AJ21" s="3"/>
      <c r="AK21" s="3"/>
      <c r="AL21" s="4">
        <f t="shared" si="13"/>
        <v>0</v>
      </c>
      <c r="AM21" s="4">
        <f t="shared" si="14"/>
        <v>0</v>
      </c>
      <c r="AN21" s="4">
        <f t="shared" si="3"/>
        <v>46118.78</v>
      </c>
      <c r="AO21" s="4">
        <f t="shared" si="4"/>
        <v>46118.78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5"/>
        <v>0</v>
      </c>
      <c r="F22" s="4"/>
      <c r="G22" s="4"/>
      <c r="H22" s="4">
        <f t="shared" si="6"/>
        <v>0</v>
      </c>
      <c r="I22" s="4"/>
      <c r="J22" s="4"/>
      <c r="K22" s="4">
        <f t="shared" si="7"/>
        <v>0</v>
      </c>
      <c r="L22" s="4"/>
      <c r="M22" s="4"/>
      <c r="N22" s="4">
        <f t="shared" si="8"/>
        <v>0</v>
      </c>
      <c r="O22" s="4"/>
      <c r="P22" s="3"/>
      <c r="Q22" s="4">
        <f t="shared" si="9"/>
        <v>0</v>
      </c>
      <c r="R22" s="3"/>
      <c r="S22" s="3">
        <v>600</v>
      </c>
      <c r="T22" s="4">
        <f t="shared" si="10"/>
        <v>600</v>
      </c>
      <c r="U22" s="3"/>
      <c r="V22" s="3"/>
      <c r="W22" s="4">
        <f t="shared" si="0"/>
        <v>0</v>
      </c>
      <c r="X22" s="3"/>
      <c r="Y22" s="3">
        <v>1340</v>
      </c>
      <c r="Z22" s="4">
        <f t="shared" si="1"/>
        <v>1340</v>
      </c>
      <c r="AA22" s="3"/>
      <c r="AB22" s="4"/>
      <c r="AC22" s="4">
        <f t="shared" si="2"/>
        <v>0</v>
      </c>
      <c r="AD22" s="3"/>
      <c r="AE22" s="3"/>
      <c r="AF22" s="4">
        <f t="shared" si="11"/>
        <v>0</v>
      </c>
      <c r="AG22" s="3"/>
      <c r="AH22" s="3"/>
      <c r="AI22" s="4">
        <f t="shared" si="12"/>
        <v>0</v>
      </c>
      <c r="AJ22" s="3"/>
      <c r="AK22" s="3"/>
      <c r="AL22" s="4">
        <f t="shared" si="13"/>
        <v>0</v>
      </c>
      <c r="AM22" s="4">
        <f t="shared" si="14"/>
        <v>0</v>
      </c>
      <c r="AN22" s="4">
        <f t="shared" si="3"/>
        <v>1940</v>
      </c>
      <c r="AO22" s="4">
        <f t="shared" si="4"/>
        <v>1940</v>
      </c>
    </row>
    <row r="23" spans="1:41" ht="28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7.75" customHeight="1">
      <c r="A24" s="3">
        <v>2800</v>
      </c>
      <c r="B24" s="3" t="s">
        <v>44</v>
      </c>
      <c r="C24" s="4"/>
      <c r="D24" s="4"/>
      <c r="E24" s="4">
        <f t="shared" si="5"/>
        <v>0</v>
      </c>
      <c r="F24" s="4"/>
      <c r="G24" s="4"/>
      <c r="H24" s="4">
        <f t="shared" si="6"/>
        <v>0</v>
      </c>
      <c r="I24" s="4"/>
      <c r="J24" s="4"/>
      <c r="K24" s="4">
        <f t="shared" si="7"/>
        <v>0</v>
      </c>
      <c r="L24" s="4"/>
      <c r="M24" s="4"/>
      <c r="N24" s="4">
        <f t="shared" si="8"/>
        <v>0</v>
      </c>
      <c r="O24" s="4"/>
      <c r="P24" s="4">
        <v>9735.2000000000007</v>
      </c>
      <c r="Q24" s="4">
        <f t="shared" si="9"/>
        <v>9735.2000000000007</v>
      </c>
      <c r="R24" s="4"/>
      <c r="S24" s="4"/>
      <c r="T24" s="4">
        <f t="shared" si="10"/>
        <v>0</v>
      </c>
      <c r="U24" s="4"/>
      <c r="V24" s="4"/>
      <c r="W24" s="4">
        <f t="shared" si="0"/>
        <v>0</v>
      </c>
      <c r="X24" s="4"/>
      <c r="Y24" s="4">
        <v>-12723.72</v>
      </c>
      <c r="Z24" s="4">
        <f t="shared" si="1"/>
        <v>-12723.72</v>
      </c>
      <c r="AA24" s="4"/>
      <c r="AB24" s="4"/>
      <c r="AC24" s="4">
        <f t="shared" si="2"/>
        <v>0</v>
      </c>
      <c r="AD24" s="4"/>
      <c r="AE24" s="4"/>
      <c r="AF24" s="4">
        <f t="shared" ref="AF24" si="15">AE24+AD24</f>
        <v>0</v>
      </c>
      <c r="AG24" s="4"/>
      <c r="AH24" s="4"/>
      <c r="AI24" s="4">
        <f t="shared" ref="AI24" si="16">AH24+AG24</f>
        <v>0</v>
      </c>
      <c r="AJ24" s="4"/>
      <c r="AK24" s="4"/>
      <c r="AL24" s="4">
        <f t="shared" si="13"/>
        <v>0</v>
      </c>
      <c r="AM24" s="4">
        <f t="shared" ref="AM24" si="17">AL24+AK24</f>
        <v>0</v>
      </c>
      <c r="AN24" s="4">
        <f t="shared" si="3"/>
        <v>-2988.5199999999986</v>
      </c>
      <c r="AO24" s="4">
        <f t="shared" si="4"/>
        <v>-2988.5199999999986</v>
      </c>
    </row>
    <row r="25" spans="1:41" ht="31.5" customHeight="1">
      <c r="A25" s="3">
        <v>3110</v>
      </c>
      <c r="B25" s="5" t="s">
        <v>15</v>
      </c>
      <c r="C25" s="4"/>
      <c r="D25" s="4"/>
      <c r="E25" s="4">
        <f t="shared" si="5"/>
        <v>0</v>
      </c>
      <c r="F25" s="4"/>
      <c r="G25" s="4"/>
      <c r="H25" s="4">
        <f t="shared" si="6"/>
        <v>0</v>
      </c>
      <c r="I25" s="4"/>
      <c r="J25" s="4"/>
      <c r="K25" s="4">
        <f t="shared" si="7"/>
        <v>0</v>
      </c>
      <c r="L25" s="4"/>
      <c r="M25" s="4"/>
      <c r="N25" s="4">
        <f t="shared" si="8"/>
        <v>0</v>
      </c>
      <c r="O25" s="4"/>
      <c r="P25" s="3"/>
      <c r="Q25" s="4">
        <f t="shared" si="9"/>
        <v>0</v>
      </c>
      <c r="R25" s="3"/>
      <c r="S25" s="3"/>
      <c r="T25" s="4">
        <f t="shared" si="10"/>
        <v>0</v>
      </c>
      <c r="U25" s="3"/>
      <c r="V25" s="3"/>
      <c r="W25" s="4">
        <f t="shared" si="0"/>
        <v>0</v>
      </c>
      <c r="X25" s="3"/>
      <c r="Y25" s="3"/>
      <c r="Z25" s="4">
        <f t="shared" si="1"/>
        <v>0</v>
      </c>
      <c r="AA25" s="3"/>
      <c r="AB25" s="4"/>
      <c r="AC25" s="4">
        <f t="shared" si="2"/>
        <v>0</v>
      </c>
      <c r="AD25" s="3"/>
      <c r="AE25" s="3"/>
      <c r="AF25" s="4">
        <f t="shared" si="11"/>
        <v>0</v>
      </c>
      <c r="AG25" s="3"/>
      <c r="AH25" s="3"/>
      <c r="AI25" s="4">
        <f t="shared" si="12"/>
        <v>0</v>
      </c>
      <c r="AJ25" s="3"/>
      <c r="AK25" s="3"/>
      <c r="AL25" s="4">
        <f t="shared" si="13"/>
        <v>0</v>
      </c>
      <c r="AM25" s="4">
        <f t="shared" si="14"/>
        <v>0</v>
      </c>
      <c r="AN25" s="4">
        <f t="shared" si="3"/>
        <v>0</v>
      </c>
      <c r="AO25" s="4">
        <f t="shared" si="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5"/>
        <v>0</v>
      </c>
      <c r="F26" s="4"/>
      <c r="G26" s="4"/>
      <c r="H26" s="4">
        <f t="shared" si="6"/>
        <v>0</v>
      </c>
      <c r="I26" s="4"/>
      <c r="J26" s="4"/>
      <c r="K26" s="4">
        <f t="shared" si="7"/>
        <v>0</v>
      </c>
      <c r="L26" s="4"/>
      <c r="M26" s="4"/>
      <c r="N26" s="4">
        <f t="shared" si="8"/>
        <v>0</v>
      </c>
      <c r="O26" s="4"/>
      <c r="P26" s="3"/>
      <c r="Q26" s="4">
        <f t="shared" si="9"/>
        <v>0</v>
      </c>
      <c r="R26" s="3"/>
      <c r="S26" s="3"/>
      <c r="T26" s="4">
        <f t="shared" si="10"/>
        <v>0</v>
      </c>
      <c r="U26" s="3"/>
      <c r="V26" s="3"/>
      <c r="W26" s="4">
        <f t="shared" si="0"/>
        <v>0</v>
      </c>
      <c r="X26" s="3"/>
      <c r="Y26" s="3"/>
      <c r="Z26" s="4">
        <f t="shared" si="1"/>
        <v>0</v>
      </c>
      <c r="AA26" s="3"/>
      <c r="AB26" s="4"/>
      <c r="AC26" s="4">
        <f t="shared" si="2"/>
        <v>0</v>
      </c>
      <c r="AD26" s="3"/>
      <c r="AE26" s="3"/>
      <c r="AF26" s="4">
        <f t="shared" si="11"/>
        <v>0</v>
      </c>
      <c r="AG26" s="3"/>
      <c r="AH26" s="3"/>
      <c r="AI26" s="4">
        <f t="shared" si="12"/>
        <v>0</v>
      </c>
      <c r="AJ26" s="3"/>
      <c r="AK26" s="3"/>
      <c r="AL26" s="4">
        <f t="shared" si="13"/>
        <v>0</v>
      </c>
      <c r="AM26" s="4">
        <f t="shared" si="14"/>
        <v>0</v>
      </c>
      <c r="AN26" s="4">
        <f t="shared" si="3"/>
        <v>0</v>
      </c>
      <c r="AO26" s="4">
        <f t="shared" si="4"/>
        <v>0</v>
      </c>
    </row>
    <row r="27" spans="1:41" ht="34.5" customHeight="1">
      <c r="A27" s="6"/>
      <c r="B27" s="5"/>
      <c r="C27" s="4"/>
      <c r="D27" s="4"/>
      <c r="E27" s="4">
        <f t="shared" si="5"/>
        <v>0</v>
      </c>
      <c r="F27" s="4"/>
      <c r="G27" s="4"/>
      <c r="H27" s="4">
        <f t="shared" si="6"/>
        <v>0</v>
      </c>
      <c r="I27" s="4"/>
      <c r="J27" s="4"/>
      <c r="K27" s="4">
        <f t="shared" si="7"/>
        <v>0</v>
      </c>
      <c r="L27" s="4"/>
      <c r="M27" s="4"/>
      <c r="N27" s="4">
        <f t="shared" si="8"/>
        <v>0</v>
      </c>
      <c r="O27" s="4"/>
      <c r="P27" s="3"/>
      <c r="Q27" s="4">
        <f t="shared" si="9"/>
        <v>0</v>
      </c>
      <c r="R27" s="3"/>
      <c r="S27" s="3"/>
      <c r="T27" s="4">
        <f t="shared" si="10"/>
        <v>0</v>
      </c>
      <c r="U27" s="3"/>
      <c r="V27" s="3"/>
      <c r="W27" s="4">
        <f t="shared" si="0"/>
        <v>0</v>
      </c>
      <c r="X27" s="3"/>
      <c r="Y27" s="3"/>
      <c r="Z27" s="4">
        <f t="shared" si="1"/>
        <v>0</v>
      </c>
      <c r="AA27" s="3"/>
      <c r="AB27" s="4"/>
      <c r="AC27" s="4">
        <f t="shared" si="2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14"/>
        <v>0</v>
      </c>
      <c r="AN27" s="4">
        <f t="shared" si="3"/>
        <v>0</v>
      </c>
      <c r="AO27" s="4">
        <f t="shared" si="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5"/>
        <v>0</v>
      </c>
      <c r="F28" s="4"/>
      <c r="G28" s="4"/>
      <c r="H28" s="4">
        <f t="shared" si="6"/>
        <v>0</v>
      </c>
      <c r="I28" s="4"/>
      <c r="J28" s="4"/>
      <c r="K28" s="4">
        <f t="shared" si="7"/>
        <v>0</v>
      </c>
      <c r="L28" s="4"/>
      <c r="M28" s="4"/>
      <c r="N28" s="4">
        <f t="shared" si="8"/>
        <v>0</v>
      </c>
      <c r="O28" s="4"/>
      <c r="P28" s="3"/>
      <c r="Q28" s="4">
        <f t="shared" si="9"/>
        <v>0</v>
      </c>
      <c r="R28" s="3"/>
      <c r="S28" s="3"/>
      <c r="T28" s="4">
        <f t="shared" si="10"/>
        <v>0</v>
      </c>
      <c r="U28" s="3"/>
      <c r="V28" s="3"/>
      <c r="W28" s="4">
        <f t="shared" si="0"/>
        <v>0</v>
      </c>
      <c r="X28" s="3"/>
      <c r="Y28" s="3"/>
      <c r="Z28" s="4">
        <f t="shared" si="1"/>
        <v>0</v>
      </c>
      <c r="AA28" s="3"/>
      <c r="AB28" s="4"/>
      <c r="AC28" s="4">
        <f t="shared" si="2"/>
        <v>0</v>
      </c>
      <c r="AD28" s="3"/>
      <c r="AE28" s="3"/>
      <c r="AF28" s="4">
        <f t="shared" si="11"/>
        <v>0</v>
      </c>
      <c r="AG28" s="3"/>
      <c r="AH28" s="3"/>
      <c r="AI28" s="4">
        <f t="shared" si="12"/>
        <v>0</v>
      </c>
      <c r="AJ28" s="3"/>
      <c r="AK28" s="3"/>
      <c r="AL28" s="4">
        <f t="shared" si="13"/>
        <v>0</v>
      </c>
      <c r="AM28" s="4">
        <f t="shared" si="14"/>
        <v>0</v>
      </c>
      <c r="AN28" s="4">
        <f t="shared" si="14"/>
        <v>0</v>
      </c>
      <c r="AO28" s="4">
        <f t="shared" si="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5"/>
        <v>0</v>
      </c>
      <c r="F29" s="4"/>
      <c r="G29" s="4">
        <v>1516</v>
      </c>
      <c r="H29" s="4">
        <f t="shared" si="6"/>
        <v>1516</v>
      </c>
      <c r="I29" s="4"/>
      <c r="J29" s="4">
        <v>1516</v>
      </c>
      <c r="K29" s="4">
        <f t="shared" si="7"/>
        <v>1516</v>
      </c>
      <c r="L29" s="4"/>
      <c r="M29" s="4">
        <v>2616</v>
      </c>
      <c r="N29" s="4">
        <f t="shared" si="8"/>
        <v>2616</v>
      </c>
      <c r="O29" s="4"/>
      <c r="P29" s="3">
        <v>1516</v>
      </c>
      <c r="Q29" s="4">
        <f t="shared" si="9"/>
        <v>1516</v>
      </c>
      <c r="R29" s="3"/>
      <c r="S29" s="3">
        <v>1516</v>
      </c>
      <c r="T29" s="4">
        <f t="shared" si="10"/>
        <v>1516</v>
      </c>
      <c r="U29" s="3"/>
      <c r="V29" s="3">
        <v>2616</v>
      </c>
      <c r="W29" s="4">
        <f t="shared" si="0"/>
        <v>2616</v>
      </c>
      <c r="X29" s="3"/>
      <c r="Y29" s="3">
        <v>1516</v>
      </c>
      <c r="Z29" s="4">
        <f t="shared" si="1"/>
        <v>1516</v>
      </c>
      <c r="AA29" s="3"/>
      <c r="AB29" s="4">
        <v>1516</v>
      </c>
      <c r="AC29" s="4">
        <f t="shared" si="2"/>
        <v>1516</v>
      </c>
      <c r="AD29" s="3"/>
      <c r="AE29" s="3"/>
      <c r="AF29" s="4">
        <f t="shared" si="11"/>
        <v>0</v>
      </c>
      <c r="AG29" s="3"/>
      <c r="AH29" s="3"/>
      <c r="AI29" s="4">
        <f t="shared" si="12"/>
        <v>0</v>
      </c>
      <c r="AJ29" s="3"/>
      <c r="AK29" s="3"/>
      <c r="AL29" s="4">
        <f t="shared" si="13"/>
        <v>0</v>
      </c>
      <c r="AM29" s="4">
        <f t="shared" si="14"/>
        <v>0</v>
      </c>
      <c r="AN29" s="4">
        <f t="shared" si="14"/>
        <v>14328</v>
      </c>
      <c r="AO29" s="4">
        <f t="shared" si="4"/>
        <v>14328</v>
      </c>
    </row>
    <row r="30" spans="1:41" ht="33.75" customHeight="1">
      <c r="A30" s="7"/>
      <c r="B30" s="7" t="s">
        <v>30</v>
      </c>
      <c r="C30" s="8">
        <f t="shared" ref="C30:J30" si="18">SUM(C9:C28)</f>
        <v>0</v>
      </c>
      <c r="D30" s="8">
        <f t="shared" si="18"/>
        <v>260111.06999999998</v>
      </c>
      <c r="E30" s="8">
        <f t="shared" si="18"/>
        <v>260111.06999999998</v>
      </c>
      <c r="F30" s="8">
        <f t="shared" si="18"/>
        <v>0</v>
      </c>
      <c r="G30" s="8">
        <f>SUM(G9:G29)</f>
        <v>787494.29999999993</v>
      </c>
      <c r="H30" s="8">
        <f>SUM(H9:H29)</f>
        <v>787494.29999999993</v>
      </c>
      <c r="I30" s="8">
        <f t="shared" si="18"/>
        <v>0</v>
      </c>
      <c r="J30" s="8">
        <f t="shared" si="18"/>
        <v>945250.3899999999</v>
      </c>
      <c r="K30" s="8">
        <f>J30+I30</f>
        <v>945250.3899999999</v>
      </c>
      <c r="L30" s="8">
        <f>SUM(L9:L28)</f>
        <v>0</v>
      </c>
      <c r="M30" s="8">
        <f>SUM(M9:M28)</f>
        <v>507494.47</v>
      </c>
      <c r="N30" s="8">
        <f>M30+L30</f>
        <v>507494.47</v>
      </c>
      <c r="O30" s="8">
        <f>SUM(O9:O28)</f>
        <v>0</v>
      </c>
      <c r="P30" s="8">
        <f>SUM(P9:P28)</f>
        <v>373296.23000000004</v>
      </c>
      <c r="Q30" s="8">
        <f>P30+O30</f>
        <v>373296.23000000004</v>
      </c>
      <c r="R30" s="8">
        <f>SUM(R9:R28)</f>
        <v>0</v>
      </c>
      <c r="S30" s="8">
        <f>SUM(S9:S28)</f>
        <v>390984.73</v>
      </c>
      <c r="T30" s="8">
        <f>S30+R30</f>
        <v>390984.73</v>
      </c>
      <c r="U30" s="8">
        <f>SUM(U9:U28)</f>
        <v>0</v>
      </c>
      <c r="V30" s="8">
        <f>SUM(V9:V28)</f>
        <v>433147.06</v>
      </c>
      <c r="W30" s="8">
        <f t="shared" si="0"/>
        <v>433147.06</v>
      </c>
      <c r="X30" s="8">
        <f>SUM(X9:X28)</f>
        <v>0</v>
      </c>
      <c r="Y30" s="8">
        <f>SUM(Y9:Y28)</f>
        <v>247670.66</v>
      </c>
      <c r="Z30" s="8">
        <f t="shared" si="1"/>
        <v>247670.66</v>
      </c>
      <c r="AA30" s="8">
        <f>SUM(AA9:AA28)</f>
        <v>0</v>
      </c>
      <c r="AB30" s="8">
        <f>SUM(AB9:AB28)</f>
        <v>333203.42000000004</v>
      </c>
      <c r="AC30" s="8">
        <f>AB30+AA30</f>
        <v>333203.42000000004</v>
      </c>
      <c r="AD30" s="8">
        <f>SUM(AD9:AD28)</f>
        <v>0</v>
      </c>
      <c r="AE30" s="8">
        <f>SUM(AE9:AE28)</f>
        <v>0</v>
      </c>
      <c r="AF30" s="8">
        <f t="shared" si="11"/>
        <v>0</v>
      </c>
      <c r="AG30" s="8">
        <f>SUM(AG9:AG28)</f>
        <v>0</v>
      </c>
      <c r="AH30" s="8">
        <f>SUM(AH9:AH28)</f>
        <v>0</v>
      </c>
      <c r="AI30" s="8">
        <f>AH30+AG30</f>
        <v>0</v>
      </c>
      <c r="AJ30" s="8">
        <f t="shared" ref="AJ30:AO30" si="19">SUM(AJ9:AJ28)</f>
        <v>0</v>
      </c>
      <c r="AK30" s="8">
        <f t="shared" si="19"/>
        <v>0</v>
      </c>
      <c r="AL30" s="8">
        <f t="shared" si="19"/>
        <v>0</v>
      </c>
      <c r="AM30" s="8">
        <f t="shared" si="19"/>
        <v>0</v>
      </c>
      <c r="AN30" s="8">
        <f t="shared" si="19"/>
        <v>4277136.330000001</v>
      </c>
      <c r="AO30" s="8">
        <f t="shared" si="19"/>
        <v>4277136.330000001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Q9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1.109375" customWidth="1"/>
    <col min="5" max="5" width="10.5546875" customWidth="1"/>
    <col min="6" max="6" width="11.6640625" customWidth="1"/>
    <col min="7" max="7" width="11.109375" customWidth="1"/>
    <col min="8" max="8" width="11.44140625" customWidth="1"/>
    <col min="9" max="9" width="11.109375" customWidth="1"/>
    <col min="10" max="10" width="10.5546875" customWidth="1"/>
    <col min="11" max="11" width="10.44140625" customWidth="1"/>
    <col min="12" max="12" width="12.44140625" customWidth="1"/>
    <col min="13" max="13" width="10.6640625" customWidth="1"/>
    <col min="14" max="14" width="10.44140625" customWidth="1"/>
    <col min="15" max="15" width="13.5546875" customWidth="1"/>
    <col min="16" max="16" width="10.88671875" customWidth="1"/>
    <col min="17" max="17" width="11" customWidth="1"/>
    <col min="18" max="18" width="11.44140625" customWidth="1"/>
    <col min="19" max="19" width="10.6640625" customWidth="1"/>
    <col min="20" max="20" width="11.5546875" customWidth="1"/>
    <col min="21" max="21" width="12.33203125" customWidth="1"/>
    <col min="22" max="22" width="10.44140625" customWidth="1"/>
    <col min="23" max="23" width="11.5546875" customWidth="1"/>
    <col min="24" max="24" width="11.44140625" customWidth="1"/>
    <col min="25" max="25" width="11.5546875" customWidth="1"/>
    <col min="26" max="26" width="12.109375" customWidth="1"/>
    <col min="27" max="27" width="11.44140625" customWidth="1"/>
    <col min="28" max="28" width="11.5546875" customWidth="1"/>
    <col min="29" max="29" width="10.88671875" customWidth="1"/>
    <col min="30" max="30" width="11.44140625" customWidth="1"/>
    <col min="31" max="31" width="10.88671875" customWidth="1"/>
    <col min="32" max="32" width="11.44140625" customWidth="1"/>
    <col min="33" max="33" width="11.33203125" customWidth="1"/>
    <col min="34" max="34" width="10.5546875" customWidth="1"/>
    <col min="35" max="35" width="11" customWidth="1"/>
    <col min="36" max="36" width="11.88671875" customWidth="1"/>
    <col min="37" max="37" width="11" customWidth="1"/>
    <col min="38" max="38" width="11.33203125" customWidth="1"/>
    <col min="39" max="39" width="13.5546875" customWidth="1"/>
    <col min="40" max="40" width="12.88671875" customWidth="1"/>
    <col min="41" max="41" width="12.66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145813.96</v>
      </c>
      <c r="E9" s="4">
        <f>D9+C9</f>
        <v>145813.96</v>
      </c>
      <c r="F9" s="4"/>
      <c r="G9" s="4">
        <v>121844.12</v>
      </c>
      <c r="H9" s="4">
        <f>G9+F9</f>
        <v>121844.12</v>
      </c>
      <c r="I9" s="4"/>
      <c r="J9" s="4">
        <v>148032.56</v>
      </c>
      <c r="K9" s="4">
        <f>J9+I9</f>
        <v>148032.56</v>
      </c>
      <c r="L9" s="4"/>
      <c r="M9" s="4">
        <v>163057.04999999999</v>
      </c>
      <c r="N9" s="4">
        <f>M9+L9</f>
        <v>163057.04999999999</v>
      </c>
      <c r="O9" s="4"/>
      <c r="P9" s="3">
        <v>154155.29</v>
      </c>
      <c r="Q9" s="4">
        <f>P9+O9</f>
        <v>154155.29</v>
      </c>
      <c r="R9" s="3"/>
      <c r="S9" s="3">
        <v>162254.89000000001</v>
      </c>
      <c r="T9" s="4">
        <f>S9+R9</f>
        <v>162254.89000000001</v>
      </c>
      <c r="U9" s="3"/>
      <c r="V9" s="3">
        <v>143654.01999999999</v>
      </c>
      <c r="W9" s="4">
        <f>V9+U9</f>
        <v>143654.01999999999</v>
      </c>
      <c r="X9" s="3"/>
      <c r="Y9" s="3">
        <v>126289.38</v>
      </c>
      <c r="Z9" s="4">
        <f>Y9+X9</f>
        <v>126289.38</v>
      </c>
      <c r="AA9" s="3"/>
      <c r="AB9" s="3">
        <v>176254.77</v>
      </c>
      <c r="AC9" s="4">
        <f>AB9+AA9</f>
        <v>176254.77</v>
      </c>
      <c r="AD9" s="3"/>
      <c r="AE9" s="3"/>
      <c r="AF9" s="4">
        <f>AD9+AE9</f>
        <v>0</v>
      </c>
      <c r="AG9" s="3"/>
      <c r="AH9" s="3"/>
      <c r="AI9" s="4">
        <f>AG9+AH9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1341356.04</v>
      </c>
      <c r="AO9" s="4">
        <f>AL9+AI9+AF9+AC9+Z9+W9+T9+Q9+N9+K9+H9+E9</f>
        <v>1341356.04</v>
      </c>
    </row>
    <row r="10" spans="1:41" ht="20.100000000000001" customHeight="1">
      <c r="A10" s="3">
        <v>2120</v>
      </c>
      <c r="B10" s="3" t="s">
        <v>1</v>
      </c>
      <c r="C10" s="4"/>
      <c r="D10" s="4">
        <v>34535.96</v>
      </c>
      <c r="E10" s="4">
        <f t="shared" ref="E10:E29" si="0">D10+C10</f>
        <v>34535.96</v>
      </c>
      <c r="F10" s="4"/>
      <c r="G10" s="4">
        <v>28400.3</v>
      </c>
      <c r="H10" s="4">
        <f t="shared" ref="H10:H29" si="1">G10+F10</f>
        <v>28400.3</v>
      </c>
      <c r="I10" s="4"/>
      <c r="J10" s="4">
        <v>38426.660000000003</v>
      </c>
      <c r="K10" s="4">
        <f t="shared" ref="K10:K29" si="2">J10+I10</f>
        <v>38426.660000000003</v>
      </c>
      <c r="L10" s="4"/>
      <c r="M10" s="4">
        <v>37900.46</v>
      </c>
      <c r="N10" s="4">
        <f t="shared" ref="N10:N29" si="3">M10+L10</f>
        <v>37900.46</v>
      </c>
      <c r="O10" s="4"/>
      <c r="P10" s="3">
        <v>35520.76</v>
      </c>
      <c r="Q10" s="4">
        <f t="shared" ref="Q10:Q29" si="4">P10+O10</f>
        <v>35520.76</v>
      </c>
      <c r="R10" s="3"/>
      <c r="S10" s="3">
        <v>37437.21</v>
      </c>
      <c r="T10" s="4">
        <f t="shared" ref="T10:T29" si="5">S10+R10</f>
        <v>37437.21</v>
      </c>
      <c r="U10" s="3"/>
      <c r="V10" s="3">
        <v>34902.39</v>
      </c>
      <c r="W10" s="4">
        <f t="shared" ref="W10:W29" si="6">V10+U10</f>
        <v>34902.39</v>
      </c>
      <c r="X10" s="3"/>
      <c r="Y10" s="3">
        <v>31045.89</v>
      </c>
      <c r="Z10" s="4">
        <f t="shared" ref="Z10:Z30" si="7">Y10+X10</f>
        <v>31045.89</v>
      </c>
      <c r="AA10" s="3"/>
      <c r="AB10" s="3">
        <v>42049.16</v>
      </c>
      <c r="AC10" s="4">
        <f t="shared" ref="AC10:AC27" si="8">AB10+AA10</f>
        <v>42049.16</v>
      </c>
      <c r="AD10" s="3"/>
      <c r="AE10" s="3"/>
      <c r="AF10" s="4">
        <f t="shared" ref="AF10:AF29" si="9">AD10+AE10</f>
        <v>0</v>
      </c>
      <c r="AG10" s="3"/>
      <c r="AH10" s="3"/>
      <c r="AI10" s="4">
        <f t="shared" ref="AI10:AI29" si="10">AG10+AH10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320218.79000000004</v>
      </c>
      <c r="AO10" s="4">
        <f t="shared" ref="AO10:AO27" si="14">AL10+AI10+AF10+AC10+Z10+W10+T10+Q10+N10+K10+H10+E10</f>
        <v>320218.79000000004</v>
      </c>
    </row>
    <row r="11" spans="1:41" ht="20.100000000000001" customHeight="1">
      <c r="A11" s="3">
        <v>2210</v>
      </c>
      <c r="B11" s="3" t="s">
        <v>2</v>
      </c>
      <c r="C11" s="4"/>
      <c r="D11" s="4">
        <v>590.4</v>
      </c>
      <c r="E11" s="4">
        <f t="shared" si="0"/>
        <v>590.4</v>
      </c>
      <c r="F11" s="4"/>
      <c r="G11" s="4">
        <v>952.7</v>
      </c>
      <c r="H11" s="4">
        <f t="shared" si="1"/>
        <v>952.7</v>
      </c>
      <c r="I11" s="4"/>
      <c r="J11" s="4">
        <v>410.84</v>
      </c>
      <c r="K11" s="4">
        <f t="shared" si="2"/>
        <v>410.84</v>
      </c>
      <c r="L11" s="4"/>
      <c r="M11" s="4">
        <v>467.21</v>
      </c>
      <c r="N11" s="4">
        <f t="shared" si="3"/>
        <v>467.21</v>
      </c>
      <c r="O11" s="8"/>
      <c r="P11" s="3">
        <v>906.2</v>
      </c>
      <c r="Q11" s="4">
        <f t="shared" si="4"/>
        <v>906.2</v>
      </c>
      <c r="R11" s="3"/>
      <c r="S11" s="4">
        <v>-97798.48</v>
      </c>
      <c r="T11" s="4">
        <f t="shared" si="5"/>
        <v>-97798.48</v>
      </c>
      <c r="U11" s="3"/>
      <c r="V11" s="3"/>
      <c r="W11" s="4">
        <f t="shared" si="6"/>
        <v>0</v>
      </c>
      <c r="X11" s="3"/>
      <c r="Y11" s="3">
        <v>2542.19</v>
      </c>
      <c r="Z11" s="4">
        <f t="shared" si="7"/>
        <v>2542.19</v>
      </c>
      <c r="AA11" s="3"/>
      <c r="AB11" s="3">
        <v>2823.87</v>
      </c>
      <c r="AC11" s="4">
        <f t="shared" si="8"/>
        <v>2823.87</v>
      </c>
      <c r="AD11" s="3"/>
      <c r="AE11" s="4"/>
      <c r="AF11" s="4">
        <f t="shared" si="9"/>
        <v>0</v>
      </c>
      <c r="AG11" s="3"/>
      <c r="AH11" s="3"/>
      <c r="AI11" s="4">
        <f t="shared" si="10"/>
        <v>0</v>
      </c>
      <c r="AJ11" s="3"/>
      <c r="AK11" s="4"/>
      <c r="AL11" s="4">
        <f t="shared" si="11"/>
        <v>0</v>
      </c>
      <c r="AM11" s="4">
        <f t="shared" si="12"/>
        <v>0</v>
      </c>
      <c r="AN11" s="4">
        <f t="shared" si="13"/>
        <v>-89105.07</v>
      </c>
      <c r="AO11" s="4">
        <f t="shared" si="14"/>
        <v>-89105.07</v>
      </c>
    </row>
    <row r="12" spans="1:41" ht="20.100000000000001" customHeight="1">
      <c r="A12" s="3">
        <v>2220</v>
      </c>
      <c r="B12" s="3" t="s">
        <v>3</v>
      </c>
      <c r="C12" s="4"/>
      <c r="D12" s="4">
        <v>896.34</v>
      </c>
      <c r="E12" s="4">
        <f t="shared" si="0"/>
        <v>896.34</v>
      </c>
      <c r="F12" s="4"/>
      <c r="G12" s="4">
        <v>48.23</v>
      </c>
      <c r="H12" s="4">
        <f t="shared" si="1"/>
        <v>48.23</v>
      </c>
      <c r="I12" s="4"/>
      <c r="J12" s="4">
        <v>1602.23</v>
      </c>
      <c r="K12" s="4">
        <f t="shared" si="2"/>
        <v>1602.23</v>
      </c>
      <c r="L12" s="4"/>
      <c r="M12" s="4">
        <v>72.34</v>
      </c>
      <c r="N12" s="4">
        <f t="shared" si="3"/>
        <v>72.34</v>
      </c>
      <c r="O12" s="8"/>
      <c r="P12" s="3">
        <v>837.12</v>
      </c>
      <c r="Q12" s="4">
        <f t="shared" si="4"/>
        <v>837.12</v>
      </c>
      <c r="R12" s="3"/>
      <c r="S12" s="3">
        <v>48.23</v>
      </c>
      <c r="T12" s="4">
        <f t="shared" si="5"/>
        <v>48.23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>
        <v>168.3</v>
      </c>
      <c r="AC12" s="4">
        <f t="shared" si="8"/>
        <v>168.3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3672.7900000000004</v>
      </c>
      <c r="AO12" s="4">
        <f t="shared" si="14"/>
        <v>3672.7900000000004</v>
      </c>
    </row>
    <row r="13" spans="1:41" ht="20.100000000000001" customHeight="1">
      <c r="A13" s="3">
        <v>2230</v>
      </c>
      <c r="B13" s="3" t="s">
        <v>4</v>
      </c>
      <c r="C13" s="4"/>
      <c r="D13" s="4">
        <v>999.67</v>
      </c>
      <c r="E13" s="4">
        <f t="shared" si="0"/>
        <v>999.67</v>
      </c>
      <c r="F13" s="4"/>
      <c r="G13" s="4"/>
      <c r="H13" s="4">
        <f t="shared" si="1"/>
        <v>0</v>
      </c>
      <c r="I13" s="4"/>
      <c r="J13" s="4">
        <v>4348.7</v>
      </c>
      <c r="K13" s="4">
        <f t="shared" si="2"/>
        <v>4348.7</v>
      </c>
      <c r="L13" s="4"/>
      <c r="M13" s="4">
        <v>7098.76</v>
      </c>
      <c r="N13" s="4">
        <f t="shared" si="3"/>
        <v>7098.76</v>
      </c>
      <c r="O13" s="4"/>
      <c r="P13" s="4">
        <v>7802.64</v>
      </c>
      <c r="Q13" s="4">
        <f t="shared" si="4"/>
        <v>7802.64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>
        <v>12148.94</v>
      </c>
      <c r="AC13" s="4">
        <f t="shared" si="8"/>
        <v>12148.94</v>
      </c>
      <c r="AD13" s="3"/>
      <c r="AE13" s="3"/>
      <c r="AF13" s="4">
        <f t="shared" si="9"/>
        <v>0</v>
      </c>
      <c r="AG13" s="3"/>
      <c r="AH13" s="3"/>
      <c r="AI13" s="4">
        <f t="shared" si="10"/>
        <v>0</v>
      </c>
      <c r="AJ13" s="3"/>
      <c r="AK13" s="4"/>
      <c r="AL13" s="4">
        <f t="shared" si="11"/>
        <v>0</v>
      </c>
      <c r="AM13" s="4">
        <f t="shared" si="12"/>
        <v>0</v>
      </c>
      <c r="AN13" s="4">
        <f t="shared" si="13"/>
        <v>32398.710000000003</v>
      </c>
      <c r="AO13" s="4">
        <f t="shared" si="14"/>
        <v>32398.710000000003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150+7200</f>
        <v>7350</v>
      </c>
      <c r="H14" s="4">
        <f t="shared" si="1"/>
        <v>7350</v>
      </c>
      <c r="I14" s="4"/>
      <c r="J14" s="4">
        <f>210882.76+150</f>
        <v>211032.76</v>
      </c>
      <c r="K14" s="4">
        <f t="shared" si="2"/>
        <v>211032.76</v>
      </c>
      <c r="L14" s="4"/>
      <c r="M14" s="4">
        <f>150+15333.8</f>
        <v>15483.8</v>
      </c>
      <c r="N14" s="4">
        <f t="shared" si="3"/>
        <v>15483.8</v>
      </c>
      <c r="O14" s="4"/>
      <c r="P14" s="3">
        <f>8332.8+150</f>
        <v>8482.7999999999993</v>
      </c>
      <c r="Q14" s="4">
        <f t="shared" si="4"/>
        <v>8482.7999999999993</v>
      </c>
      <c r="R14" s="3"/>
      <c r="S14" s="3">
        <f>10249.03+150</f>
        <v>10399.030000000001</v>
      </c>
      <c r="T14" s="4">
        <f t="shared" si="5"/>
        <v>10399.030000000001</v>
      </c>
      <c r="U14" s="3"/>
      <c r="V14" s="3">
        <f>24923.47+150</f>
        <v>25073.47</v>
      </c>
      <c r="W14" s="4">
        <f t="shared" si="6"/>
        <v>25073.47</v>
      </c>
      <c r="X14" s="3"/>
      <c r="Y14" s="3">
        <f>150+15513.2</f>
        <v>15663.2</v>
      </c>
      <c r="Z14" s="4">
        <f t="shared" si="7"/>
        <v>15663.2</v>
      </c>
      <c r="AA14" s="3"/>
      <c r="AB14" s="3">
        <f>11732.1+150</f>
        <v>11882.1</v>
      </c>
      <c r="AC14" s="4">
        <f t="shared" si="8"/>
        <v>11882.1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305367.16000000003</v>
      </c>
      <c r="AO14" s="4">
        <f t="shared" si="14"/>
        <v>305367.16000000003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3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f>229330.93+51176.66</f>
        <v>280507.58999999997</v>
      </c>
      <c r="H17" s="4">
        <f t="shared" si="1"/>
        <v>280507.58999999997</v>
      </c>
      <c r="I17" s="4"/>
      <c r="J17" s="4">
        <f>-77563.01-9960.24</f>
        <v>-87523.25</v>
      </c>
      <c r="K17" s="4">
        <f t="shared" si="2"/>
        <v>-87523.25</v>
      </c>
      <c r="L17" s="4"/>
      <c r="M17" s="4">
        <f>603616.5+77474.13</f>
        <v>681090.63</v>
      </c>
      <c r="N17" s="4">
        <f t="shared" si="3"/>
        <v>681090.63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874074.97</v>
      </c>
      <c r="AO17" s="4">
        <f t="shared" si="14"/>
        <v>874074.97</v>
      </c>
    </row>
    <row r="18" spans="1:41" ht="20.100000000000001" customHeight="1">
      <c r="A18" s="3">
        <v>2272</v>
      </c>
      <c r="B18" s="3" t="s">
        <v>9</v>
      </c>
      <c r="C18" s="4"/>
      <c r="D18" s="4">
        <v>1622.88</v>
      </c>
      <c r="E18" s="4">
        <f t="shared" si="0"/>
        <v>1622.88</v>
      </c>
      <c r="F18" s="4"/>
      <c r="G18" s="4">
        <v>917.28</v>
      </c>
      <c r="H18" s="4">
        <f t="shared" si="1"/>
        <v>917.28</v>
      </c>
      <c r="I18" s="4"/>
      <c r="J18" s="4">
        <v>1764</v>
      </c>
      <c r="K18" s="4">
        <f t="shared" si="2"/>
        <v>1764</v>
      </c>
      <c r="L18" s="4"/>
      <c r="M18" s="4">
        <v>2469.6</v>
      </c>
      <c r="N18" s="4">
        <f t="shared" si="3"/>
        <v>2469.6</v>
      </c>
      <c r="O18" s="4"/>
      <c r="P18" s="3">
        <v>2892.96</v>
      </c>
      <c r="Q18" s="4">
        <f t="shared" si="4"/>
        <v>2892.96</v>
      </c>
      <c r="R18" s="3"/>
      <c r="S18" s="3">
        <v>2117.41</v>
      </c>
      <c r="T18" s="4">
        <f t="shared" si="5"/>
        <v>2117.41</v>
      </c>
      <c r="U18" s="3"/>
      <c r="V18" s="3">
        <v>2510.98</v>
      </c>
      <c r="W18" s="4">
        <f t="shared" si="6"/>
        <v>2510.98</v>
      </c>
      <c r="X18" s="3"/>
      <c r="Y18" s="3">
        <v>1569.36</v>
      </c>
      <c r="Z18" s="4">
        <f t="shared" si="7"/>
        <v>1569.36</v>
      </c>
      <c r="AA18" s="3"/>
      <c r="AB18" s="3">
        <v>3295.66</v>
      </c>
      <c r="AC18" s="4">
        <f t="shared" si="8"/>
        <v>3295.66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19160.13</v>
      </c>
      <c r="AO18" s="4">
        <f t="shared" si="14"/>
        <v>19160.13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35854.959999999999</v>
      </c>
      <c r="H19" s="4">
        <f t="shared" si="1"/>
        <v>35854.959999999999</v>
      </c>
      <c r="I19" s="4"/>
      <c r="J19" s="4">
        <v>79092.37</v>
      </c>
      <c r="K19" s="4">
        <f t="shared" si="2"/>
        <v>79092.37</v>
      </c>
      <c r="L19" s="4"/>
      <c r="M19" s="4">
        <v>38512.25</v>
      </c>
      <c r="N19" s="4">
        <f t="shared" si="3"/>
        <v>38512.25</v>
      </c>
      <c r="O19" s="4"/>
      <c r="P19" s="3">
        <v>43058.61</v>
      </c>
      <c r="Q19" s="4">
        <f t="shared" si="4"/>
        <v>43058.61</v>
      </c>
      <c r="R19" s="3"/>
      <c r="S19" s="3">
        <v>28266.080000000002</v>
      </c>
      <c r="T19" s="4">
        <f t="shared" si="5"/>
        <v>28266.080000000002</v>
      </c>
      <c r="U19" s="3"/>
      <c r="V19" s="3">
        <v>7928.18</v>
      </c>
      <c r="W19" s="4">
        <f t="shared" si="6"/>
        <v>7928.18</v>
      </c>
      <c r="X19" s="3"/>
      <c r="Y19" s="3">
        <v>4203.46</v>
      </c>
      <c r="Z19" s="4">
        <f t="shared" si="7"/>
        <v>4203.46</v>
      </c>
      <c r="AA19" s="3"/>
      <c r="AB19" s="3">
        <v>6405.99</v>
      </c>
      <c r="AC19" s="4">
        <f t="shared" si="8"/>
        <v>6405.99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243321.9</v>
      </c>
      <c r="AO19" s="4">
        <f t="shared" si="14"/>
        <v>243321.9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1192.8</v>
      </c>
      <c r="E21" s="4">
        <f t="shared" si="0"/>
        <v>1192.8</v>
      </c>
      <c r="F21" s="4"/>
      <c r="G21" s="4">
        <v>1320.68</v>
      </c>
      <c r="H21" s="4">
        <f t="shared" si="1"/>
        <v>1320.68</v>
      </c>
      <c r="I21" s="4"/>
      <c r="J21" s="4">
        <v>779.32</v>
      </c>
      <c r="K21" s="4">
        <f t="shared" si="2"/>
        <v>779.32</v>
      </c>
      <c r="L21" s="4"/>
      <c r="M21" s="4">
        <v>714.6</v>
      </c>
      <c r="N21" s="4">
        <f t="shared" si="3"/>
        <v>714.6</v>
      </c>
      <c r="O21" s="4"/>
      <c r="P21" s="3">
        <v>7713.99</v>
      </c>
      <c r="Q21" s="4">
        <f t="shared" si="4"/>
        <v>7713.99</v>
      </c>
      <c r="R21" s="3"/>
      <c r="S21" s="3">
        <v>957.36</v>
      </c>
      <c r="T21" s="4">
        <f t="shared" si="5"/>
        <v>957.36</v>
      </c>
      <c r="U21" s="3"/>
      <c r="V21" s="3">
        <v>16113.99</v>
      </c>
      <c r="W21" s="4">
        <f t="shared" si="6"/>
        <v>16113.99</v>
      </c>
      <c r="X21" s="3"/>
      <c r="Y21" s="3">
        <v>1301.6199999999999</v>
      </c>
      <c r="Z21" s="4">
        <f t="shared" si="7"/>
        <v>1301.6199999999999</v>
      </c>
      <c r="AA21" s="3"/>
      <c r="AB21" s="3">
        <v>1105.17</v>
      </c>
      <c r="AC21" s="4">
        <f t="shared" si="8"/>
        <v>1105.17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31199.529999999995</v>
      </c>
      <c r="AO21" s="4">
        <f t="shared" si="14"/>
        <v>31199.529999999995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320</v>
      </c>
      <c r="Z22" s="4">
        <f t="shared" si="7"/>
        <v>320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920</v>
      </c>
      <c r="AO22" s="4">
        <f t="shared" si="14"/>
        <v>920</v>
      </c>
    </row>
    <row r="23" spans="1:41" ht="25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7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4"/>
      <c r="P24" s="4">
        <v>19470.400000000001</v>
      </c>
      <c r="Q24" s="4">
        <f t="shared" si="4"/>
        <v>19470.400000000001</v>
      </c>
      <c r="R24" s="4"/>
      <c r="S24" s="4"/>
      <c r="T24" s="4">
        <f t="shared" si="5"/>
        <v>0</v>
      </c>
      <c r="U24" s="4"/>
      <c r="V24" s="4"/>
      <c r="W24" s="4">
        <f t="shared" si="6"/>
        <v>0</v>
      </c>
      <c r="X24" s="4"/>
      <c r="Y24" s="4">
        <v>25447.439999999999</v>
      </c>
      <c r="Z24" s="4">
        <f t="shared" si="7"/>
        <v>25447.439999999999</v>
      </c>
      <c r="AA24" s="4"/>
      <c r="AB24" s="4"/>
      <c r="AC24" s="4">
        <f t="shared" si="8"/>
        <v>0</v>
      </c>
      <c r="AD24" s="4"/>
      <c r="AE24" s="4"/>
      <c r="AF24" s="4">
        <f t="shared" ref="AF24" si="15">AE24+AD24</f>
        <v>0</v>
      </c>
      <c r="AG24" s="4"/>
      <c r="AH24" s="4"/>
      <c r="AI24" s="4">
        <f t="shared" ref="AI24" si="16">AH24+AG24</f>
        <v>0</v>
      </c>
      <c r="AJ24" s="4"/>
      <c r="AK24" s="4"/>
      <c r="AL24" s="4">
        <f t="shared" si="11"/>
        <v>0</v>
      </c>
      <c r="AM24" s="4">
        <f t="shared" ref="AM24" si="17">AL24+AK24</f>
        <v>0</v>
      </c>
      <c r="AN24" s="4">
        <f t="shared" si="13"/>
        <v>44917.84</v>
      </c>
      <c r="AO24" s="4">
        <f t="shared" si="14"/>
        <v>44917.84</v>
      </c>
    </row>
    <row r="25" spans="1:41" ht="31.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>AB28+AA28</f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>AL28+AI28+AF28+AC28+Z28+W28+T28+Q28+N28+K28+H28+E28</f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1516</v>
      </c>
      <c r="H29" s="4">
        <f t="shared" si="1"/>
        <v>1516</v>
      </c>
      <c r="I29" s="4"/>
      <c r="J29" s="4">
        <v>1516</v>
      </c>
      <c r="K29" s="4">
        <f t="shared" si="2"/>
        <v>1516</v>
      </c>
      <c r="L29" s="4"/>
      <c r="M29" s="4">
        <v>2441</v>
      </c>
      <c r="N29" s="4">
        <f t="shared" si="3"/>
        <v>2441</v>
      </c>
      <c r="O29" s="8"/>
      <c r="P29" s="3">
        <v>1516</v>
      </c>
      <c r="Q29" s="4">
        <f t="shared" si="4"/>
        <v>1516</v>
      </c>
      <c r="R29" s="3"/>
      <c r="S29" s="3">
        <v>1516</v>
      </c>
      <c r="T29" s="4">
        <f t="shared" si="5"/>
        <v>1516</v>
      </c>
      <c r="U29" s="3"/>
      <c r="V29" s="3">
        <v>2441</v>
      </c>
      <c r="W29" s="4">
        <f t="shared" si="6"/>
        <v>2441</v>
      </c>
      <c r="X29" s="3"/>
      <c r="Y29" s="3">
        <v>1516</v>
      </c>
      <c r="Z29" s="4">
        <f t="shared" si="7"/>
        <v>1516</v>
      </c>
      <c r="AA29" s="3"/>
      <c r="AB29" s="4">
        <v>1516</v>
      </c>
      <c r="AC29" s="4">
        <f>AB29+AA29</f>
        <v>1516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13978</v>
      </c>
      <c r="AO29" s="4">
        <f>AL29+AI29+AF29+AC29+Z29+W29+T29+Q29+N29+K29+H29+E29</f>
        <v>13978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18">SUM(D9:D28)</f>
        <v>185652.00999999998</v>
      </c>
      <c r="E30" s="8">
        <f t="shared" si="18"/>
        <v>185652.00999999998</v>
      </c>
      <c r="F30" s="8">
        <f t="shared" si="18"/>
        <v>0</v>
      </c>
      <c r="G30" s="8">
        <f>SUM(G9:G29)</f>
        <v>478711.86</v>
      </c>
      <c r="H30" s="8">
        <f>SUM(H9:H29)</f>
        <v>478711.86</v>
      </c>
      <c r="I30" s="8">
        <f t="shared" si="18"/>
        <v>0</v>
      </c>
      <c r="J30" s="8">
        <f t="shared" si="18"/>
        <v>397966.19</v>
      </c>
      <c r="K30" s="8">
        <f>J30+I30</f>
        <v>397966.19</v>
      </c>
      <c r="L30" s="8">
        <f t="shared" si="18"/>
        <v>0</v>
      </c>
      <c r="M30" s="8">
        <f t="shared" si="18"/>
        <v>946866.7</v>
      </c>
      <c r="N30" s="8">
        <f>M30+L30</f>
        <v>946866.7</v>
      </c>
      <c r="O30" s="8">
        <f t="shared" si="18"/>
        <v>0</v>
      </c>
      <c r="P30" s="8">
        <f t="shared" si="18"/>
        <v>280840.77</v>
      </c>
      <c r="Q30" s="8">
        <f>P30+O30</f>
        <v>280840.77</v>
      </c>
      <c r="R30" s="8">
        <f t="shared" si="18"/>
        <v>0</v>
      </c>
      <c r="S30" s="8">
        <f t="shared" si="18"/>
        <v>144281.72999999998</v>
      </c>
      <c r="T30" s="8">
        <f>S30+R30</f>
        <v>144281.72999999998</v>
      </c>
      <c r="U30" s="8">
        <f t="shared" si="18"/>
        <v>0</v>
      </c>
      <c r="V30" s="8">
        <f t="shared" si="18"/>
        <v>230183.02999999997</v>
      </c>
      <c r="W30" s="8">
        <f>V30+U30</f>
        <v>230183.02999999997</v>
      </c>
      <c r="X30" s="8">
        <f t="shared" si="18"/>
        <v>0</v>
      </c>
      <c r="Y30" s="8">
        <f t="shared" si="18"/>
        <v>208382.54</v>
      </c>
      <c r="Z30" s="8">
        <f t="shared" si="7"/>
        <v>208382.54</v>
      </c>
      <c r="AA30" s="8">
        <f t="shared" si="18"/>
        <v>0</v>
      </c>
      <c r="AB30" s="8">
        <f t="shared" si="18"/>
        <v>256133.96</v>
      </c>
      <c r="AC30" s="8">
        <f>AB30+AA30</f>
        <v>256133.96</v>
      </c>
      <c r="AD30" s="8">
        <f t="shared" si="18"/>
        <v>0</v>
      </c>
      <c r="AE30" s="8">
        <f t="shared" si="18"/>
        <v>0</v>
      </c>
      <c r="AF30" s="8">
        <f>AE30+AD30</f>
        <v>0</v>
      </c>
      <c r="AG30" s="8">
        <f t="shared" si="18"/>
        <v>0</v>
      </c>
      <c r="AH30" s="8">
        <f t="shared" si="18"/>
        <v>0</v>
      </c>
      <c r="AI30" s="8">
        <f>AH30+AG30</f>
        <v>0</v>
      </c>
      <c r="AJ30" s="8">
        <f t="shared" si="18"/>
        <v>0</v>
      </c>
      <c r="AK30" s="8">
        <f t="shared" si="18"/>
        <v>0</v>
      </c>
      <c r="AL30" s="8">
        <f>AK30+AJ30</f>
        <v>0</v>
      </c>
      <c r="AM30" s="8">
        <f t="shared" si="18"/>
        <v>0</v>
      </c>
      <c r="AN30" s="8">
        <f t="shared" si="18"/>
        <v>3127502.7899999991</v>
      </c>
      <c r="AO30" s="8">
        <f t="shared" si="18"/>
        <v>3127502.7899999991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P9" activePane="bottomRight" state="frozen"/>
      <selection pane="topRight" activeCell="C1" sqref="C1"/>
      <selection pane="bottomLeft" activeCell="A10" sqref="A10"/>
      <selection pane="bottomRight" activeCell="Z24" sqref="Z24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44140625" customWidth="1"/>
    <col min="5" max="5" width="11" customWidth="1"/>
    <col min="6" max="6" width="11.6640625" customWidth="1"/>
    <col min="7" max="7" width="11.109375" customWidth="1"/>
    <col min="8" max="8" width="10.6640625" customWidth="1"/>
    <col min="9" max="9" width="11.109375" customWidth="1"/>
    <col min="10" max="10" width="11" customWidth="1"/>
    <col min="11" max="11" width="10.44140625" customWidth="1"/>
    <col min="12" max="12" width="12.44140625" customWidth="1"/>
    <col min="13" max="13" width="12.5546875" customWidth="1"/>
    <col min="14" max="14" width="11.33203125" customWidth="1"/>
    <col min="15" max="15" width="13.5546875" customWidth="1"/>
    <col min="16" max="16" width="10.88671875" customWidth="1"/>
    <col min="17" max="17" width="10.44140625" customWidth="1"/>
    <col min="18" max="18" width="11.44140625" customWidth="1"/>
    <col min="19" max="20" width="10.6640625" customWidth="1"/>
    <col min="21" max="21" width="12.33203125" customWidth="1"/>
    <col min="22" max="23" width="11" customWidth="1"/>
    <col min="24" max="24" width="11.44140625" customWidth="1"/>
    <col min="25" max="25" width="10.5546875" customWidth="1"/>
    <col min="26" max="26" width="11.33203125" customWidth="1"/>
    <col min="27" max="27" width="11.44140625" customWidth="1"/>
    <col min="28" max="28" width="11.5546875" customWidth="1"/>
    <col min="29" max="29" width="10.88671875" customWidth="1"/>
    <col min="30" max="31" width="11.44140625" customWidth="1"/>
    <col min="32" max="32" width="11.6640625" customWidth="1"/>
    <col min="33" max="33" width="11.33203125" customWidth="1"/>
    <col min="34" max="34" width="10.5546875" customWidth="1"/>
    <col min="35" max="35" width="11.109375" customWidth="1"/>
    <col min="36" max="36" width="11.88671875" customWidth="1"/>
    <col min="37" max="37" width="12.109375" customWidth="1"/>
    <col min="38" max="38" width="11.77734375" customWidth="1"/>
    <col min="39" max="39" width="12.33203125" customWidth="1"/>
    <col min="40" max="40" width="12.88671875" customWidth="1"/>
    <col min="41" max="41" width="11.5546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326137.48</v>
      </c>
      <c r="E9" s="4">
        <f>D9+C9</f>
        <v>326137.48</v>
      </c>
      <c r="F9" s="4"/>
      <c r="G9" s="4">
        <v>313913.56</v>
      </c>
      <c r="H9" s="4">
        <f>G9+F9</f>
        <v>313913.56</v>
      </c>
      <c r="I9" s="4"/>
      <c r="J9" s="4">
        <v>331453.25</v>
      </c>
      <c r="K9" s="4">
        <f>J9+I9</f>
        <v>331453.25</v>
      </c>
      <c r="L9" s="4"/>
      <c r="M9" s="4">
        <v>329632.78999999998</v>
      </c>
      <c r="N9" s="4">
        <f>M9+L9</f>
        <v>329632.78999999998</v>
      </c>
      <c r="O9" s="4"/>
      <c r="P9" s="3">
        <v>342006.88</v>
      </c>
      <c r="Q9" s="4">
        <f>P9+O9</f>
        <v>342006.88</v>
      </c>
      <c r="R9" s="3"/>
      <c r="S9" s="3">
        <v>363489.22</v>
      </c>
      <c r="T9" s="4">
        <f>S9+R9</f>
        <v>363489.22</v>
      </c>
      <c r="U9" s="3"/>
      <c r="V9" s="3">
        <v>285324.40999999997</v>
      </c>
      <c r="W9" s="4">
        <f>V9+U9</f>
        <v>285324.40999999997</v>
      </c>
      <c r="X9" s="3"/>
      <c r="Y9" s="3">
        <v>244807.36</v>
      </c>
      <c r="Z9" s="4">
        <f>Y9+X9</f>
        <v>244807.36</v>
      </c>
      <c r="AA9" s="3"/>
      <c r="AB9" s="3">
        <v>298833.06</v>
      </c>
      <c r="AC9" s="4">
        <f>AB9+AA9</f>
        <v>298833.06</v>
      </c>
      <c r="AD9" s="3"/>
      <c r="AE9" s="3"/>
      <c r="AF9" s="4">
        <f>AD9+AE9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2835598.01</v>
      </c>
      <c r="AO9" s="4">
        <f>AL9+AI9+AF9+AC9+Z9+W9+T9+Q9+N9+K9+H9+E9</f>
        <v>2835598.01</v>
      </c>
    </row>
    <row r="10" spans="1:41" ht="20.100000000000001" customHeight="1">
      <c r="A10" s="3">
        <v>2120</v>
      </c>
      <c r="B10" s="3" t="s">
        <v>1</v>
      </c>
      <c r="C10" s="4"/>
      <c r="D10" s="4">
        <v>71159.41</v>
      </c>
      <c r="E10" s="4">
        <f t="shared" ref="E10:E29" si="0">D10+C10</f>
        <v>71159.41</v>
      </c>
      <c r="F10" s="4"/>
      <c r="G10" s="4">
        <v>69190.899999999994</v>
      </c>
      <c r="H10" s="4">
        <f>G10+F10</f>
        <v>69190.899999999994</v>
      </c>
      <c r="I10" s="4"/>
      <c r="J10" s="4">
        <v>75500.11</v>
      </c>
      <c r="K10" s="4">
        <f t="shared" ref="K10:K29" si="1">J10+I10</f>
        <v>75500.11</v>
      </c>
      <c r="L10" s="4"/>
      <c r="M10" s="4">
        <v>71453.22</v>
      </c>
      <c r="N10" s="4">
        <f t="shared" ref="N10:N29" si="2">M10+L10</f>
        <v>71453.22</v>
      </c>
      <c r="O10" s="4"/>
      <c r="P10" s="3">
        <v>74700.98</v>
      </c>
      <c r="Q10" s="4">
        <f t="shared" ref="Q10:Q29" si="3">P10+O10</f>
        <v>74700.98</v>
      </c>
      <c r="R10" s="3"/>
      <c r="S10" s="3">
        <v>80249.38</v>
      </c>
      <c r="T10" s="4">
        <f t="shared" ref="T10:T29" si="4">S10+R10</f>
        <v>80249.38</v>
      </c>
      <c r="U10" s="3"/>
      <c r="V10" s="3">
        <v>62409.56</v>
      </c>
      <c r="W10" s="4">
        <f t="shared" ref="W10:W29" si="5">V10+U10</f>
        <v>62409.56</v>
      </c>
      <c r="X10" s="3"/>
      <c r="Y10" s="3">
        <v>53766.54</v>
      </c>
      <c r="Z10" s="4">
        <f t="shared" ref="Z10:Z30" si="6">Y10+X10</f>
        <v>53766.54</v>
      </c>
      <c r="AA10" s="3"/>
      <c r="AB10" s="3">
        <v>64721.23</v>
      </c>
      <c r="AC10" s="4">
        <f t="shared" ref="AC10:AC29" si="7">AB10+AA10</f>
        <v>64721.23</v>
      </c>
      <c r="AD10" s="3"/>
      <c r="AE10" s="3"/>
      <c r="AF10" s="4">
        <f t="shared" ref="AF10:AF29" si="8">AD10+AE10</f>
        <v>0</v>
      </c>
      <c r="AG10" s="3"/>
      <c r="AH10" s="4"/>
      <c r="AI10" s="4">
        <f t="shared" ref="AI10:AI29" si="9">AH10+AG10</f>
        <v>0</v>
      </c>
      <c r="AJ10" s="3"/>
      <c r="AK10" s="3"/>
      <c r="AL10" s="4">
        <f t="shared" ref="AL10:AL29" si="10">AK10+AJ10</f>
        <v>0</v>
      </c>
      <c r="AM10" s="4">
        <f t="shared" ref="AM10:AM29" si="11">AJ10+AG10+AD10+AA10+X10+U10+R10+O10+L10+I10+F10+C10</f>
        <v>0</v>
      </c>
      <c r="AN10" s="4">
        <f t="shared" ref="AN10:AN29" si="12">AK10+AH10+AE10+AB10+Y10+V10+S10+P10+M10+J10+G10+D10</f>
        <v>623151.33000000007</v>
      </c>
      <c r="AO10" s="4">
        <f t="shared" ref="AO10:AO29" si="13">AL10+AI10+AF10+AC10+Z10+W10+T10+Q10+N10+K10+H10+E10</f>
        <v>623151.33000000007</v>
      </c>
    </row>
    <row r="11" spans="1:41" ht="20.100000000000001" customHeight="1">
      <c r="A11" s="3">
        <v>2210</v>
      </c>
      <c r="B11" s="3" t="s">
        <v>2</v>
      </c>
      <c r="C11" s="4"/>
      <c r="D11" s="4">
        <v>1364.71</v>
      </c>
      <c r="E11" s="4">
        <f t="shared" si="0"/>
        <v>1364.71</v>
      </c>
      <c r="F11" s="4"/>
      <c r="G11" s="4">
        <v>1985.15</v>
      </c>
      <c r="H11" s="4">
        <f t="shared" ref="H11:H29" si="14">G11+F11</f>
        <v>1985.15</v>
      </c>
      <c r="I11" s="4"/>
      <c r="J11" s="4">
        <v>1662.47</v>
      </c>
      <c r="K11" s="4">
        <f t="shared" si="1"/>
        <v>1662.47</v>
      </c>
      <c r="L11" s="4"/>
      <c r="M11" s="4">
        <v>1380.23</v>
      </c>
      <c r="N11" s="4">
        <f t="shared" si="2"/>
        <v>1380.23</v>
      </c>
      <c r="O11" s="8"/>
      <c r="P11" s="3">
        <v>1830.83</v>
      </c>
      <c r="Q11" s="4">
        <f t="shared" si="3"/>
        <v>1830.83</v>
      </c>
      <c r="R11" s="3"/>
      <c r="S11" s="3">
        <v>1099.21</v>
      </c>
      <c r="T11" s="4">
        <f t="shared" si="4"/>
        <v>1099.21</v>
      </c>
      <c r="U11" s="3"/>
      <c r="V11" s="3">
        <v>1152.23</v>
      </c>
      <c r="W11" s="4">
        <f t="shared" si="5"/>
        <v>1152.23</v>
      </c>
      <c r="X11" s="3"/>
      <c r="Y11" s="3">
        <v>2332.7600000000002</v>
      </c>
      <c r="Z11" s="4">
        <f t="shared" si="6"/>
        <v>2332.7600000000002</v>
      </c>
      <c r="AA11" s="3"/>
      <c r="AB11" s="3">
        <v>1745.93</v>
      </c>
      <c r="AC11" s="4">
        <f t="shared" si="7"/>
        <v>1745.93</v>
      </c>
      <c r="AD11" s="3"/>
      <c r="AE11" s="4"/>
      <c r="AF11" s="4">
        <f t="shared" si="8"/>
        <v>0</v>
      </c>
      <c r="AG11" s="3"/>
      <c r="AH11" s="3"/>
      <c r="AI11" s="4">
        <f t="shared" si="9"/>
        <v>0</v>
      </c>
      <c r="AJ11" s="3"/>
      <c r="AK11" s="3"/>
      <c r="AL11" s="4">
        <f t="shared" si="10"/>
        <v>0</v>
      </c>
      <c r="AM11" s="4">
        <f t="shared" si="11"/>
        <v>0</v>
      </c>
      <c r="AN11" s="4">
        <f t="shared" si="12"/>
        <v>14553.52</v>
      </c>
      <c r="AO11" s="4">
        <f t="shared" si="13"/>
        <v>14553.52</v>
      </c>
    </row>
    <row r="12" spans="1:41" ht="20.100000000000001" customHeight="1">
      <c r="A12" s="3">
        <v>2220</v>
      </c>
      <c r="B12" s="3" t="s">
        <v>3</v>
      </c>
      <c r="C12" s="4"/>
      <c r="D12" s="4">
        <v>21.22</v>
      </c>
      <c r="E12" s="4">
        <f t="shared" si="0"/>
        <v>21.22</v>
      </c>
      <c r="F12" s="4"/>
      <c r="G12" s="4"/>
      <c r="H12" s="4">
        <f t="shared" si="14"/>
        <v>0</v>
      </c>
      <c r="I12" s="4"/>
      <c r="J12" s="4">
        <v>1302.9000000000001</v>
      </c>
      <c r="K12" s="4">
        <f t="shared" si="1"/>
        <v>1302.9000000000001</v>
      </c>
      <c r="L12" s="4"/>
      <c r="M12" s="4">
        <v>1516</v>
      </c>
      <c r="N12" s="4">
        <f t="shared" si="2"/>
        <v>1516</v>
      </c>
      <c r="O12" s="8"/>
      <c r="P12" s="3">
        <v>3365.78</v>
      </c>
      <c r="Q12" s="4">
        <f t="shared" si="3"/>
        <v>3365.78</v>
      </c>
      <c r="R12" s="3"/>
      <c r="S12" s="3"/>
      <c r="T12" s="4">
        <f t="shared" si="4"/>
        <v>0</v>
      </c>
      <c r="U12" s="3"/>
      <c r="V12" s="3">
        <v>0.4</v>
      </c>
      <c r="W12" s="4">
        <f t="shared" si="5"/>
        <v>0.4</v>
      </c>
      <c r="X12" s="3"/>
      <c r="Y12" s="3"/>
      <c r="Z12" s="4">
        <f t="shared" si="6"/>
        <v>0</v>
      </c>
      <c r="AA12" s="3"/>
      <c r="AB12" s="3">
        <v>888</v>
      </c>
      <c r="AC12" s="4">
        <f t="shared" si="7"/>
        <v>888</v>
      </c>
      <c r="AD12" s="3"/>
      <c r="AE12" s="3"/>
      <c r="AF12" s="4">
        <f t="shared" si="8"/>
        <v>0</v>
      </c>
      <c r="AG12" s="3"/>
      <c r="AH12" s="3"/>
      <c r="AI12" s="4">
        <f t="shared" si="9"/>
        <v>0</v>
      </c>
      <c r="AJ12" s="3"/>
      <c r="AK12" s="4"/>
      <c r="AL12" s="4">
        <f t="shared" si="10"/>
        <v>0</v>
      </c>
      <c r="AM12" s="4">
        <f t="shared" si="11"/>
        <v>0</v>
      </c>
      <c r="AN12" s="4">
        <f t="shared" si="12"/>
        <v>7094.3</v>
      </c>
      <c r="AO12" s="4">
        <f t="shared" si="13"/>
        <v>7094.3</v>
      </c>
    </row>
    <row r="13" spans="1:41" ht="20.100000000000001" customHeight="1">
      <c r="A13" s="3">
        <v>2230</v>
      </c>
      <c r="B13" s="3" t="s">
        <v>4</v>
      </c>
      <c r="C13" s="4"/>
      <c r="D13" s="4">
        <v>3498.03</v>
      </c>
      <c r="E13" s="4">
        <f t="shared" si="0"/>
        <v>3498.03</v>
      </c>
      <c r="F13" s="4"/>
      <c r="G13" s="4">
        <v>12541.69</v>
      </c>
      <c r="H13" s="4">
        <f t="shared" si="14"/>
        <v>12541.69</v>
      </c>
      <c r="I13" s="4"/>
      <c r="J13" s="4">
        <v>9799.6299999999992</v>
      </c>
      <c r="K13" s="4">
        <f t="shared" si="1"/>
        <v>9799.6299999999992</v>
      </c>
      <c r="L13" s="4"/>
      <c r="M13" s="4">
        <v>12664.23</v>
      </c>
      <c r="N13" s="4">
        <f t="shared" si="2"/>
        <v>12664.23</v>
      </c>
      <c r="O13" s="4"/>
      <c r="P13" s="4">
        <v>9051.32</v>
      </c>
      <c r="Q13" s="4">
        <f t="shared" si="3"/>
        <v>9051.32</v>
      </c>
      <c r="R13" s="3"/>
      <c r="S13" s="3"/>
      <c r="T13" s="4">
        <f t="shared" si="4"/>
        <v>0</v>
      </c>
      <c r="U13" s="3"/>
      <c r="V13" s="3"/>
      <c r="W13" s="4">
        <f t="shared" si="5"/>
        <v>0</v>
      </c>
      <c r="X13" s="3"/>
      <c r="Y13" s="3"/>
      <c r="Z13" s="4">
        <f t="shared" si="6"/>
        <v>0</v>
      </c>
      <c r="AA13" s="3"/>
      <c r="AB13" s="3">
        <v>11453.1</v>
      </c>
      <c r="AC13" s="4">
        <f t="shared" si="7"/>
        <v>11453.1</v>
      </c>
      <c r="AD13" s="3"/>
      <c r="AE13" s="3"/>
      <c r="AF13" s="4">
        <f t="shared" si="8"/>
        <v>0</v>
      </c>
      <c r="AG13" s="3"/>
      <c r="AH13" s="3"/>
      <c r="AI13" s="4">
        <f t="shared" si="9"/>
        <v>0</v>
      </c>
      <c r="AJ13" s="3"/>
      <c r="AK13" s="3"/>
      <c r="AL13" s="4">
        <f t="shared" si="10"/>
        <v>0</v>
      </c>
      <c r="AM13" s="4">
        <f t="shared" si="11"/>
        <v>0</v>
      </c>
      <c r="AN13" s="4">
        <f t="shared" si="12"/>
        <v>59007.999999999993</v>
      </c>
      <c r="AO13" s="4">
        <f t="shared" si="13"/>
        <v>59007.999999999993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492.22+7200+25685.4+30921.76</f>
        <v>64299.380000000005</v>
      </c>
      <c r="H14" s="4">
        <f t="shared" si="14"/>
        <v>64299.380000000005</v>
      </c>
      <c r="I14" s="4"/>
      <c r="J14" s="4">
        <f>8038.8+8058.03+9384.34+492.22</f>
        <v>25973.39</v>
      </c>
      <c r="K14" s="4">
        <f t="shared" si="1"/>
        <v>25973.39</v>
      </c>
      <c r="L14" s="4"/>
      <c r="M14" s="4">
        <f>492.22+10357.8+16408.03+4335.04</f>
        <v>31593.089999999997</v>
      </c>
      <c r="N14" s="4">
        <f t="shared" si="2"/>
        <v>31593.089999999997</v>
      </c>
      <c r="O14" s="4"/>
      <c r="P14" s="3">
        <f>176851.69+9315.04+14291.8+492.22</f>
        <v>200950.75</v>
      </c>
      <c r="Q14" s="4">
        <f t="shared" si="3"/>
        <v>200950.75</v>
      </c>
      <c r="R14" s="3"/>
      <c r="S14" s="3">
        <f>7858+5258.03+3785.04+492.22</f>
        <v>17393.29</v>
      </c>
      <c r="T14" s="4">
        <f t="shared" si="4"/>
        <v>17393.29</v>
      </c>
      <c r="U14" s="3"/>
      <c r="V14" s="3">
        <f>26283.29+34104.1+1410.04+492.22</f>
        <v>62289.65</v>
      </c>
      <c r="W14" s="4">
        <f t="shared" si="5"/>
        <v>62289.65</v>
      </c>
      <c r="X14" s="3"/>
      <c r="Y14" s="3">
        <f>492.22+255597.57+45977.03+10403.44</f>
        <v>312470.26</v>
      </c>
      <c r="Z14" s="4">
        <f t="shared" si="6"/>
        <v>312470.26</v>
      </c>
      <c r="AA14" s="3"/>
      <c r="AB14" s="3">
        <f>6492.22+63833.03+6584.34+492.22</f>
        <v>77401.81</v>
      </c>
      <c r="AC14" s="4">
        <f t="shared" si="7"/>
        <v>77401.81</v>
      </c>
      <c r="AD14" s="3"/>
      <c r="AE14" s="3"/>
      <c r="AF14" s="4">
        <f t="shared" si="8"/>
        <v>0</v>
      </c>
      <c r="AG14" s="3"/>
      <c r="AH14" s="3"/>
      <c r="AI14" s="4">
        <f t="shared" si="9"/>
        <v>0</v>
      </c>
      <c r="AJ14" s="3"/>
      <c r="AK14" s="3"/>
      <c r="AL14" s="4">
        <f t="shared" si="10"/>
        <v>0</v>
      </c>
      <c r="AM14" s="4">
        <f t="shared" si="11"/>
        <v>0</v>
      </c>
      <c r="AN14" s="4">
        <f t="shared" si="12"/>
        <v>792371.62</v>
      </c>
      <c r="AO14" s="4">
        <f t="shared" si="13"/>
        <v>792371.62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4"/>
        <v>0</v>
      </c>
      <c r="I15" s="4"/>
      <c r="J15" s="4"/>
      <c r="K15" s="4">
        <f t="shared" si="1"/>
        <v>0</v>
      </c>
      <c r="L15" s="4"/>
      <c r="M15" s="4"/>
      <c r="N15" s="4">
        <f t="shared" si="2"/>
        <v>0</v>
      </c>
      <c r="O15" s="4"/>
      <c r="P15" s="3"/>
      <c r="Q15" s="4">
        <f t="shared" si="3"/>
        <v>0</v>
      </c>
      <c r="R15" s="3"/>
      <c r="S15" s="3"/>
      <c r="T15" s="4">
        <f t="shared" si="4"/>
        <v>0</v>
      </c>
      <c r="U15" s="3"/>
      <c r="V15" s="3"/>
      <c r="W15" s="4">
        <f t="shared" si="5"/>
        <v>0</v>
      </c>
      <c r="X15" s="3"/>
      <c r="Y15" s="3"/>
      <c r="Z15" s="4">
        <f t="shared" si="6"/>
        <v>0</v>
      </c>
      <c r="AA15" s="3"/>
      <c r="AB15" s="4"/>
      <c r="AC15" s="4">
        <f t="shared" si="7"/>
        <v>0</v>
      </c>
      <c r="AD15" s="3"/>
      <c r="AE15" s="3"/>
      <c r="AF15" s="4">
        <f t="shared" si="8"/>
        <v>0</v>
      </c>
      <c r="AG15" s="3"/>
      <c r="AH15" s="4"/>
      <c r="AI15" s="4">
        <f t="shared" si="9"/>
        <v>0</v>
      </c>
      <c r="AJ15" s="3"/>
      <c r="AK15" s="3"/>
      <c r="AL15" s="4">
        <f t="shared" si="10"/>
        <v>0</v>
      </c>
      <c r="AM15" s="4">
        <f t="shared" si="11"/>
        <v>0</v>
      </c>
      <c r="AN15" s="4">
        <f t="shared" si="12"/>
        <v>0</v>
      </c>
      <c r="AO15" s="4">
        <f t="shared" si="13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4"/>
        <v>0</v>
      </c>
      <c r="I16" s="4"/>
      <c r="J16" s="4"/>
      <c r="K16" s="4">
        <f t="shared" si="1"/>
        <v>0</v>
      </c>
      <c r="L16" s="4"/>
      <c r="M16" s="4"/>
      <c r="N16" s="4">
        <f t="shared" si="2"/>
        <v>0</v>
      </c>
      <c r="O16" s="8"/>
      <c r="P16" s="3"/>
      <c r="Q16" s="4">
        <f t="shared" si="3"/>
        <v>0</v>
      </c>
      <c r="R16" s="3"/>
      <c r="S16" s="3"/>
      <c r="T16" s="4">
        <f t="shared" si="4"/>
        <v>0</v>
      </c>
      <c r="U16" s="3"/>
      <c r="V16" s="3"/>
      <c r="W16" s="4">
        <f t="shared" si="5"/>
        <v>0</v>
      </c>
      <c r="X16" s="3"/>
      <c r="Y16" s="3"/>
      <c r="Z16" s="4">
        <f t="shared" si="6"/>
        <v>0</v>
      </c>
      <c r="AA16" s="3"/>
      <c r="AB16" s="4"/>
      <c r="AC16" s="4">
        <f t="shared" si="7"/>
        <v>0</v>
      </c>
      <c r="AD16" s="3"/>
      <c r="AE16" s="3"/>
      <c r="AF16" s="4">
        <f t="shared" si="8"/>
        <v>0</v>
      </c>
      <c r="AG16" s="3"/>
      <c r="AH16" s="3"/>
      <c r="AI16" s="4">
        <f t="shared" si="9"/>
        <v>0</v>
      </c>
      <c r="AJ16" s="3"/>
      <c r="AK16" s="3"/>
      <c r="AL16" s="4">
        <f t="shared" si="10"/>
        <v>0</v>
      </c>
      <c r="AM16" s="4">
        <f t="shared" si="11"/>
        <v>0</v>
      </c>
      <c r="AN16" s="4">
        <f t="shared" si="12"/>
        <v>0</v>
      </c>
      <c r="AO16" s="4">
        <f t="shared" si="13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f>-76296.74+101912.61+135901.85</f>
        <v>161517.72</v>
      </c>
      <c r="H17" s="4">
        <f t="shared" si="14"/>
        <v>161517.72</v>
      </c>
      <c r="I17" s="4"/>
      <c r="J17" s="4">
        <f>3813.04+152634.92+69565.85</f>
        <v>226013.81000000003</v>
      </c>
      <c r="K17" s="4">
        <f t="shared" si="1"/>
        <v>226013.81000000003</v>
      </c>
      <c r="L17" s="4"/>
      <c r="M17" s="4">
        <f>16696.51+18718.58</f>
        <v>35415.089999999997</v>
      </c>
      <c r="N17" s="4">
        <f t="shared" si="2"/>
        <v>35415.089999999997</v>
      </c>
      <c r="O17" s="4"/>
      <c r="P17" s="3"/>
      <c r="Q17" s="4">
        <f t="shared" si="3"/>
        <v>0</v>
      </c>
      <c r="R17" s="3"/>
      <c r="S17" s="3"/>
      <c r="T17" s="4">
        <f t="shared" si="4"/>
        <v>0</v>
      </c>
      <c r="U17" s="3"/>
      <c r="V17" s="3"/>
      <c r="W17" s="4">
        <f t="shared" si="5"/>
        <v>0</v>
      </c>
      <c r="X17" s="3"/>
      <c r="Y17" s="3"/>
      <c r="Z17" s="4">
        <f t="shared" si="6"/>
        <v>0</v>
      </c>
      <c r="AA17" s="3"/>
      <c r="AB17" s="4"/>
      <c r="AC17" s="4">
        <f t="shared" si="7"/>
        <v>0</v>
      </c>
      <c r="AD17" s="3"/>
      <c r="AE17" s="3"/>
      <c r="AF17" s="4">
        <f t="shared" si="8"/>
        <v>0</v>
      </c>
      <c r="AG17" s="3"/>
      <c r="AH17" s="3"/>
      <c r="AI17" s="4">
        <f t="shared" si="9"/>
        <v>0</v>
      </c>
      <c r="AJ17" s="3"/>
      <c r="AK17" s="3"/>
      <c r="AL17" s="4">
        <f t="shared" si="10"/>
        <v>0</v>
      </c>
      <c r="AM17" s="4">
        <f t="shared" si="11"/>
        <v>0</v>
      </c>
      <c r="AN17" s="4">
        <f t="shared" si="12"/>
        <v>422946.62</v>
      </c>
      <c r="AO17" s="4">
        <f t="shared" si="13"/>
        <v>422946.62</v>
      </c>
    </row>
    <row r="18" spans="1:41" ht="20.100000000000001" customHeight="1">
      <c r="A18" s="3">
        <v>2272</v>
      </c>
      <c r="B18" s="3" t="s">
        <v>9</v>
      </c>
      <c r="C18" s="4"/>
      <c r="D18" s="4">
        <f>564.48+1340.64+1905.12</f>
        <v>3810.24</v>
      </c>
      <c r="E18" s="4">
        <f t="shared" si="0"/>
        <v>3810.24</v>
      </c>
      <c r="F18" s="4"/>
      <c r="G18" s="4">
        <f>70.56+1340.64+1764</f>
        <v>3175.2</v>
      </c>
      <c r="H18" s="4">
        <f t="shared" si="14"/>
        <v>3175.2</v>
      </c>
      <c r="I18" s="4"/>
      <c r="J18" s="4">
        <f>1764+2399.04</f>
        <v>4163.04</v>
      </c>
      <c r="K18" s="4">
        <f t="shared" si="1"/>
        <v>4163.04</v>
      </c>
      <c r="L18" s="4"/>
      <c r="M18" s="4">
        <f>564.48+1905.12+2328.48</f>
        <v>4798.08</v>
      </c>
      <c r="N18" s="4">
        <f t="shared" si="2"/>
        <v>4798.08</v>
      </c>
      <c r="O18" s="4"/>
      <c r="P18" s="3">
        <f>2328.48+1975.68</f>
        <v>4304.16</v>
      </c>
      <c r="Q18" s="4">
        <f t="shared" si="3"/>
        <v>4304.16</v>
      </c>
      <c r="R18" s="3"/>
      <c r="S18" s="3">
        <f>156.94+2987.86+2085.78</f>
        <v>5230.58</v>
      </c>
      <c r="T18" s="4">
        <f t="shared" si="4"/>
        <v>5230.58</v>
      </c>
      <c r="U18" s="3"/>
      <c r="V18" s="3">
        <f>1412.42+78.47</f>
        <v>1490.89</v>
      </c>
      <c r="W18" s="4">
        <f t="shared" si="5"/>
        <v>1490.89</v>
      </c>
      <c r="X18" s="3"/>
      <c r="Y18" s="3">
        <f>1177.02+784.68+235.4</f>
        <v>2197.1</v>
      </c>
      <c r="Z18" s="4">
        <f t="shared" si="6"/>
        <v>2197.1</v>
      </c>
      <c r="AA18" s="3"/>
      <c r="AB18" s="3">
        <f>1569.36+1647.83</f>
        <v>3217.1899999999996</v>
      </c>
      <c r="AC18" s="4">
        <f t="shared" si="7"/>
        <v>3217.1899999999996</v>
      </c>
      <c r="AD18" s="3"/>
      <c r="AE18" s="3"/>
      <c r="AF18" s="4">
        <f t="shared" si="8"/>
        <v>0</v>
      </c>
      <c r="AG18" s="3"/>
      <c r="AH18" s="3"/>
      <c r="AI18" s="4">
        <f t="shared" si="9"/>
        <v>0</v>
      </c>
      <c r="AJ18" s="3"/>
      <c r="AK18" s="3"/>
      <c r="AL18" s="4">
        <f t="shared" si="10"/>
        <v>0</v>
      </c>
      <c r="AM18" s="4">
        <f t="shared" si="11"/>
        <v>0</v>
      </c>
      <c r="AN18" s="4">
        <f t="shared" si="12"/>
        <v>32386.480000000003</v>
      </c>
      <c r="AO18" s="4">
        <f t="shared" si="13"/>
        <v>32386.480000000003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f>7977.2+7750.89+4412.92</f>
        <v>20141.010000000002</v>
      </c>
      <c r="H19" s="4">
        <f t="shared" si="14"/>
        <v>20141.010000000002</v>
      </c>
      <c r="I19" s="4"/>
      <c r="J19" s="4">
        <f>17398.94+13253.99+50658.35</f>
        <v>81311.28</v>
      </c>
      <c r="K19" s="4">
        <f t="shared" si="1"/>
        <v>81311.28</v>
      </c>
      <c r="L19" s="4"/>
      <c r="M19" s="4">
        <f>10357.55+10332.01+32547.14</f>
        <v>53236.7</v>
      </c>
      <c r="N19" s="4">
        <f t="shared" si="2"/>
        <v>53236.7</v>
      </c>
      <c r="O19" s="4"/>
      <c r="P19" s="3">
        <f>4977.17+9772.38+31014.53</f>
        <v>45764.08</v>
      </c>
      <c r="Q19" s="4">
        <f t="shared" si="3"/>
        <v>45764.08</v>
      </c>
      <c r="R19" s="3"/>
      <c r="S19" s="3">
        <f>2420.55+4981.72+19483.91</f>
        <v>26886.18</v>
      </c>
      <c r="T19" s="4">
        <f t="shared" si="4"/>
        <v>26886.18</v>
      </c>
      <c r="U19" s="3"/>
      <c r="V19" s="3">
        <f>953.11+3043.47+3530.86</f>
        <v>7527.4400000000005</v>
      </c>
      <c r="W19" s="4">
        <f t="shared" si="5"/>
        <v>7527.4400000000005</v>
      </c>
      <c r="X19" s="3"/>
      <c r="Y19" s="3">
        <f>939.27+1292.66+1469.35</f>
        <v>3701.28</v>
      </c>
      <c r="Z19" s="4">
        <f t="shared" si="6"/>
        <v>3701.28</v>
      </c>
      <c r="AA19" s="3"/>
      <c r="AB19" s="3">
        <f>1230.13+2216.57+1183.72</f>
        <v>4630.42</v>
      </c>
      <c r="AC19" s="4">
        <f t="shared" si="7"/>
        <v>4630.42</v>
      </c>
      <c r="AD19" s="3"/>
      <c r="AE19" s="3"/>
      <c r="AF19" s="4">
        <f t="shared" si="8"/>
        <v>0</v>
      </c>
      <c r="AG19" s="3"/>
      <c r="AH19" s="3"/>
      <c r="AI19" s="4">
        <f t="shared" si="9"/>
        <v>0</v>
      </c>
      <c r="AJ19" s="3"/>
      <c r="AK19" s="4"/>
      <c r="AL19" s="4">
        <f t="shared" si="10"/>
        <v>0</v>
      </c>
      <c r="AM19" s="4">
        <f t="shared" si="11"/>
        <v>0</v>
      </c>
      <c r="AN19" s="4">
        <f t="shared" si="12"/>
        <v>243198.38999999998</v>
      </c>
      <c r="AO19" s="4">
        <f t="shared" si="13"/>
        <v>243198.38999999998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4"/>
        <v>0</v>
      </c>
      <c r="I20" s="4"/>
      <c r="J20" s="4"/>
      <c r="K20" s="4">
        <f t="shared" si="1"/>
        <v>0</v>
      </c>
      <c r="L20" s="4"/>
      <c r="M20" s="4"/>
      <c r="N20" s="4">
        <f t="shared" si="2"/>
        <v>0</v>
      </c>
      <c r="O20" s="4"/>
      <c r="P20" s="3"/>
      <c r="Q20" s="4">
        <f t="shared" si="3"/>
        <v>0</v>
      </c>
      <c r="R20" s="3"/>
      <c r="S20" s="3"/>
      <c r="T20" s="4">
        <f t="shared" si="4"/>
        <v>0</v>
      </c>
      <c r="U20" s="3"/>
      <c r="V20" s="3"/>
      <c r="W20" s="4">
        <f t="shared" si="5"/>
        <v>0</v>
      </c>
      <c r="X20" s="3"/>
      <c r="Y20" s="3"/>
      <c r="Z20" s="4">
        <f t="shared" si="6"/>
        <v>0</v>
      </c>
      <c r="AA20" s="3"/>
      <c r="AB20" s="4"/>
      <c r="AC20" s="4">
        <f t="shared" si="7"/>
        <v>0</v>
      </c>
      <c r="AD20" s="3"/>
      <c r="AE20" s="3"/>
      <c r="AF20" s="4">
        <f t="shared" si="8"/>
        <v>0</v>
      </c>
      <c r="AG20" s="3"/>
      <c r="AH20" s="3"/>
      <c r="AI20" s="4">
        <f t="shared" si="9"/>
        <v>0</v>
      </c>
      <c r="AJ20" s="3"/>
      <c r="AK20" s="3"/>
      <c r="AL20" s="4">
        <f t="shared" si="10"/>
        <v>0</v>
      </c>
      <c r="AM20" s="4">
        <f t="shared" si="11"/>
        <v>0</v>
      </c>
      <c r="AN20" s="4">
        <f t="shared" si="12"/>
        <v>0</v>
      </c>
      <c r="AO20" s="4">
        <f t="shared" si="13"/>
        <v>0</v>
      </c>
    </row>
    <row r="21" spans="1:41" ht="20.100000000000001" customHeight="1">
      <c r="A21" s="3">
        <v>2275</v>
      </c>
      <c r="B21" s="3" t="s">
        <v>12</v>
      </c>
      <c r="C21" s="4"/>
      <c r="D21" s="4"/>
      <c r="E21" s="4">
        <f t="shared" si="0"/>
        <v>0</v>
      </c>
      <c r="F21" s="4"/>
      <c r="G21" s="4">
        <f>524.04+1310.1+178.65</f>
        <v>2012.79</v>
      </c>
      <c r="H21" s="4">
        <f t="shared" si="14"/>
        <v>2012.79</v>
      </c>
      <c r="I21" s="4"/>
      <c r="J21" s="4">
        <f>837.32+1048.08+535.96</f>
        <v>2421.36</v>
      </c>
      <c r="K21" s="4">
        <f t="shared" si="1"/>
        <v>2421.36</v>
      </c>
      <c r="L21" s="4"/>
      <c r="M21" s="4">
        <f>524.04+1048.08+714.6</f>
        <v>2286.7199999999998</v>
      </c>
      <c r="N21" s="4">
        <f t="shared" si="2"/>
        <v>2286.7199999999998</v>
      </c>
      <c r="O21" s="8"/>
      <c r="P21" s="3">
        <f>524.04+1048.08+535.95</f>
        <v>2108.0699999999997</v>
      </c>
      <c r="Q21" s="4">
        <f t="shared" si="3"/>
        <v>2108.0699999999997</v>
      </c>
      <c r="R21" s="3"/>
      <c r="S21" s="3">
        <f>616.82+1572.12+714.6</f>
        <v>2903.54</v>
      </c>
      <c r="T21" s="4">
        <f t="shared" si="4"/>
        <v>2903.54</v>
      </c>
      <c r="U21" s="3"/>
      <c r="V21" s="3">
        <f>524.04+21348.08+714.6</f>
        <v>22586.720000000001</v>
      </c>
      <c r="W21" s="4">
        <f t="shared" si="5"/>
        <v>22586.720000000001</v>
      </c>
      <c r="X21" s="3"/>
      <c r="Y21" s="3">
        <f>763.62+1909.05+1041.3</f>
        <v>3713.9700000000003</v>
      </c>
      <c r="Z21" s="4">
        <f t="shared" si="6"/>
        <v>3713.9700000000003</v>
      </c>
      <c r="AA21" s="3"/>
      <c r="AB21" s="3">
        <f>474.6+1527.24+1301.63</f>
        <v>3303.4700000000003</v>
      </c>
      <c r="AC21" s="4">
        <f t="shared" si="7"/>
        <v>3303.4700000000003</v>
      </c>
      <c r="AD21" s="3"/>
      <c r="AE21" s="3"/>
      <c r="AF21" s="4">
        <f t="shared" si="8"/>
        <v>0</v>
      </c>
      <c r="AG21" s="3"/>
      <c r="AH21" s="3"/>
      <c r="AI21" s="4">
        <f t="shared" si="9"/>
        <v>0</v>
      </c>
      <c r="AJ21" s="3"/>
      <c r="AK21" s="3"/>
      <c r="AL21" s="4">
        <f t="shared" si="10"/>
        <v>0</v>
      </c>
      <c r="AM21" s="4">
        <f t="shared" si="11"/>
        <v>0</v>
      </c>
      <c r="AN21" s="4">
        <f t="shared" si="12"/>
        <v>41336.640000000007</v>
      </c>
      <c r="AO21" s="4">
        <f t="shared" si="13"/>
        <v>41336.640000000007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4"/>
        <v>0</v>
      </c>
      <c r="I22" s="4"/>
      <c r="J22" s="4"/>
      <c r="K22" s="4">
        <f t="shared" si="1"/>
        <v>0</v>
      </c>
      <c r="L22" s="4"/>
      <c r="M22" s="4"/>
      <c r="N22" s="4">
        <f t="shared" si="2"/>
        <v>0</v>
      </c>
      <c r="O22" s="8"/>
      <c r="P22" s="3"/>
      <c r="Q22" s="4">
        <f t="shared" si="3"/>
        <v>0</v>
      </c>
      <c r="R22" s="3"/>
      <c r="S22" s="3">
        <v>600</v>
      </c>
      <c r="T22" s="4">
        <f t="shared" si="4"/>
        <v>600</v>
      </c>
      <c r="U22" s="3"/>
      <c r="V22" s="3"/>
      <c r="W22" s="4">
        <f t="shared" si="5"/>
        <v>0</v>
      </c>
      <c r="X22" s="3"/>
      <c r="Y22" s="3">
        <v>320</v>
      </c>
      <c r="Z22" s="4">
        <f t="shared" si="6"/>
        <v>320</v>
      </c>
      <c r="AA22" s="3"/>
      <c r="AB22" s="4"/>
      <c r="AC22" s="4">
        <f t="shared" si="7"/>
        <v>0</v>
      </c>
      <c r="AD22" s="3"/>
      <c r="AE22" s="3"/>
      <c r="AF22" s="4">
        <f t="shared" si="8"/>
        <v>0</v>
      </c>
      <c r="AG22" s="3"/>
      <c r="AH22" s="3"/>
      <c r="AI22" s="4">
        <f t="shared" si="9"/>
        <v>0</v>
      </c>
      <c r="AJ22" s="3"/>
      <c r="AK22" s="3"/>
      <c r="AL22" s="4">
        <f t="shared" si="10"/>
        <v>0</v>
      </c>
      <c r="AM22" s="4">
        <f t="shared" si="11"/>
        <v>0</v>
      </c>
      <c r="AN22" s="4">
        <f t="shared" si="12"/>
        <v>920</v>
      </c>
      <c r="AO22" s="4">
        <f t="shared" si="13"/>
        <v>920</v>
      </c>
    </row>
    <row r="23" spans="1:41" ht="32.2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8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33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14"/>
        <v>0</v>
      </c>
      <c r="I24" s="4">
        <f t="shared" ref="I24" si="17">H24+G24</f>
        <v>0</v>
      </c>
      <c r="J24" s="4"/>
      <c r="K24" s="4">
        <f t="shared" si="1"/>
        <v>0</v>
      </c>
      <c r="L24" s="4"/>
      <c r="M24" s="4"/>
      <c r="N24" s="4">
        <f t="shared" si="2"/>
        <v>0</v>
      </c>
      <c r="O24" s="4">
        <f t="shared" ref="O24" si="18">N24+M24</f>
        <v>0</v>
      </c>
      <c r="P24" s="4">
        <f t="shared" ref="P24" si="19">O24+N24</f>
        <v>0</v>
      </c>
      <c r="Q24" s="4">
        <f t="shared" si="3"/>
        <v>0</v>
      </c>
      <c r="R24" s="4">
        <f t="shared" ref="R24" si="20">Q24+P24</f>
        <v>0</v>
      </c>
      <c r="S24" s="4">
        <f t="shared" ref="S24" si="21">R24+Q24</f>
        <v>0</v>
      </c>
      <c r="T24" s="4">
        <f t="shared" si="4"/>
        <v>0</v>
      </c>
      <c r="U24" s="4">
        <f t="shared" ref="U24" si="22">T24+S24</f>
        <v>0</v>
      </c>
      <c r="V24" s="4">
        <f t="shared" ref="V24" si="23">U24+T24</f>
        <v>0</v>
      </c>
      <c r="W24" s="4">
        <f t="shared" si="5"/>
        <v>0</v>
      </c>
      <c r="X24" s="4">
        <f t="shared" ref="X24" si="24">W24+V24</f>
        <v>0</v>
      </c>
      <c r="Y24" s="4">
        <f t="shared" ref="Y24" si="25">X24+W24</f>
        <v>0</v>
      </c>
      <c r="Z24" s="4">
        <f t="shared" si="6"/>
        <v>0</v>
      </c>
      <c r="AA24" s="4">
        <f t="shared" ref="AA24" si="26">Z24+Y24</f>
        <v>0</v>
      </c>
      <c r="AB24" s="4">
        <f t="shared" ref="AB24" si="27">AA24+Z24</f>
        <v>0</v>
      </c>
      <c r="AC24" s="4">
        <f t="shared" si="7"/>
        <v>0</v>
      </c>
      <c r="AD24" s="4">
        <f t="shared" ref="AD24" si="28">AC24+AB24</f>
        <v>0</v>
      </c>
      <c r="AE24" s="4">
        <f t="shared" ref="AE24" si="29">AD24+AC24</f>
        <v>0</v>
      </c>
      <c r="AF24" s="4">
        <f t="shared" ref="AF24" si="30">AE24+AD24</f>
        <v>0</v>
      </c>
      <c r="AG24" s="4">
        <f t="shared" ref="AG24" si="31">AF24+AE24</f>
        <v>0</v>
      </c>
      <c r="AH24" s="4">
        <f t="shared" ref="AH24" si="32">AG24+AF24</f>
        <v>0</v>
      </c>
      <c r="AI24" s="4">
        <f t="shared" si="9"/>
        <v>0</v>
      </c>
      <c r="AJ24" s="4">
        <f t="shared" ref="AJ24" si="33">AI24+AH24</f>
        <v>0</v>
      </c>
      <c r="AK24" s="4">
        <f t="shared" ref="AK24" si="34">AJ24+AI24</f>
        <v>0</v>
      </c>
      <c r="AL24" s="4">
        <f t="shared" si="10"/>
        <v>0</v>
      </c>
      <c r="AM24" s="4">
        <f t="shared" ref="AM24" si="35">AL24+AK24</f>
        <v>0</v>
      </c>
      <c r="AN24" s="4">
        <f t="shared" si="12"/>
        <v>0</v>
      </c>
      <c r="AO24" s="4">
        <f t="shared" si="13"/>
        <v>0</v>
      </c>
    </row>
    <row r="25" spans="1:41" ht="27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4"/>
        <v>0</v>
      </c>
      <c r="I25" s="4"/>
      <c r="J25" s="4"/>
      <c r="K25" s="4">
        <f t="shared" si="1"/>
        <v>0</v>
      </c>
      <c r="L25" s="4"/>
      <c r="M25" s="4"/>
      <c r="N25" s="4">
        <f t="shared" si="2"/>
        <v>0</v>
      </c>
      <c r="O25" s="8"/>
      <c r="P25" s="3"/>
      <c r="Q25" s="4">
        <f t="shared" si="3"/>
        <v>0</v>
      </c>
      <c r="R25" s="3"/>
      <c r="S25" s="3"/>
      <c r="T25" s="4">
        <f t="shared" si="4"/>
        <v>0</v>
      </c>
      <c r="U25" s="3"/>
      <c r="V25" s="3"/>
      <c r="W25" s="4">
        <f t="shared" si="5"/>
        <v>0</v>
      </c>
      <c r="X25" s="3"/>
      <c r="Y25" s="3"/>
      <c r="Z25" s="4">
        <f t="shared" si="6"/>
        <v>0</v>
      </c>
      <c r="AA25" s="3"/>
      <c r="AB25" s="4"/>
      <c r="AC25" s="4">
        <f t="shared" si="7"/>
        <v>0</v>
      </c>
      <c r="AD25" s="3"/>
      <c r="AE25" s="3"/>
      <c r="AF25" s="4">
        <f t="shared" si="8"/>
        <v>0</v>
      </c>
      <c r="AG25" s="3"/>
      <c r="AH25" s="3"/>
      <c r="AI25" s="4">
        <f t="shared" si="9"/>
        <v>0</v>
      </c>
      <c r="AJ25" s="3"/>
      <c r="AK25" s="3"/>
      <c r="AL25" s="4">
        <f t="shared" si="10"/>
        <v>0</v>
      </c>
      <c r="AM25" s="4">
        <f t="shared" si="11"/>
        <v>0</v>
      </c>
      <c r="AN25" s="4">
        <f t="shared" si="12"/>
        <v>0</v>
      </c>
      <c r="AO25" s="4">
        <f t="shared" si="13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4"/>
        <v>0</v>
      </c>
      <c r="I26" s="4"/>
      <c r="J26" s="4"/>
      <c r="K26" s="4">
        <f t="shared" si="1"/>
        <v>0</v>
      </c>
      <c r="L26" s="4"/>
      <c r="M26" s="4"/>
      <c r="N26" s="4">
        <f t="shared" si="2"/>
        <v>0</v>
      </c>
      <c r="O26" s="8"/>
      <c r="P26" s="3"/>
      <c r="Q26" s="4">
        <f t="shared" si="3"/>
        <v>0</v>
      </c>
      <c r="R26" s="3"/>
      <c r="S26" s="3"/>
      <c r="T26" s="4">
        <f t="shared" si="4"/>
        <v>0</v>
      </c>
      <c r="U26" s="3"/>
      <c r="V26" s="3"/>
      <c r="W26" s="4">
        <f t="shared" si="5"/>
        <v>0</v>
      </c>
      <c r="X26" s="3"/>
      <c r="Y26" s="3"/>
      <c r="Z26" s="4">
        <f t="shared" si="6"/>
        <v>0</v>
      </c>
      <c r="AA26" s="3"/>
      <c r="AB26" s="4"/>
      <c r="AC26" s="4">
        <f t="shared" si="7"/>
        <v>0</v>
      </c>
      <c r="AD26" s="3"/>
      <c r="AE26" s="3"/>
      <c r="AF26" s="4">
        <f t="shared" si="8"/>
        <v>0</v>
      </c>
      <c r="AG26" s="3"/>
      <c r="AH26" s="3"/>
      <c r="AI26" s="4">
        <f t="shared" si="9"/>
        <v>0</v>
      </c>
      <c r="AJ26" s="3"/>
      <c r="AK26" s="3"/>
      <c r="AL26" s="4">
        <f t="shared" si="10"/>
        <v>0</v>
      </c>
      <c r="AM26" s="4">
        <f t="shared" si="11"/>
        <v>0</v>
      </c>
      <c r="AN26" s="4">
        <f t="shared" si="12"/>
        <v>0</v>
      </c>
      <c r="AO26" s="4">
        <f t="shared" si="13"/>
        <v>0</v>
      </c>
    </row>
    <row r="27" spans="1:41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4"/>
        <v>0</v>
      </c>
      <c r="I27" s="4"/>
      <c r="J27" s="4"/>
      <c r="K27" s="4">
        <f t="shared" si="1"/>
        <v>0</v>
      </c>
      <c r="L27" s="4"/>
      <c r="M27" s="4"/>
      <c r="N27" s="4">
        <f t="shared" si="2"/>
        <v>0</v>
      </c>
      <c r="O27" s="8"/>
      <c r="P27" s="3"/>
      <c r="Q27" s="4">
        <f t="shared" si="3"/>
        <v>0</v>
      </c>
      <c r="R27" s="3"/>
      <c r="S27" s="3"/>
      <c r="T27" s="4">
        <f t="shared" si="4"/>
        <v>0</v>
      </c>
      <c r="U27" s="3"/>
      <c r="V27" s="3"/>
      <c r="W27" s="4">
        <f t="shared" si="5"/>
        <v>0</v>
      </c>
      <c r="X27" s="3"/>
      <c r="Y27" s="3"/>
      <c r="Z27" s="4">
        <f t="shared" si="6"/>
        <v>0</v>
      </c>
      <c r="AA27" s="3"/>
      <c r="AB27" s="4"/>
      <c r="AC27" s="4">
        <f t="shared" si="7"/>
        <v>0</v>
      </c>
      <c r="AD27" s="3"/>
      <c r="AE27" s="3"/>
      <c r="AF27" s="4">
        <f t="shared" si="8"/>
        <v>0</v>
      </c>
      <c r="AG27" s="3"/>
      <c r="AH27" s="3"/>
      <c r="AI27" s="4">
        <f t="shared" si="9"/>
        <v>0</v>
      </c>
      <c r="AJ27" s="3"/>
      <c r="AK27" s="3"/>
      <c r="AL27" s="4">
        <f t="shared" si="10"/>
        <v>0</v>
      </c>
      <c r="AM27" s="4">
        <f t="shared" si="11"/>
        <v>0</v>
      </c>
      <c r="AN27" s="4">
        <f t="shared" si="12"/>
        <v>0</v>
      </c>
      <c r="AO27" s="4">
        <f t="shared" si="13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4"/>
        <v>0</v>
      </c>
      <c r="I28" s="4"/>
      <c r="J28" s="4"/>
      <c r="K28" s="4">
        <f t="shared" si="1"/>
        <v>0</v>
      </c>
      <c r="L28" s="4"/>
      <c r="M28" s="4"/>
      <c r="N28" s="4">
        <f t="shared" si="2"/>
        <v>0</v>
      </c>
      <c r="O28" s="8"/>
      <c r="P28" s="3"/>
      <c r="Q28" s="4">
        <f t="shared" si="3"/>
        <v>0</v>
      </c>
      <c r="R28" s="3"/>
      <c r="S28" s="3"/>
      <c r="T28" s="4">
        <f t="shared" si="4"/>
        <v>0</v>
      </c>
      <c r="U28" s="3"/>
      <c r="V28" s="3"/>
      <c r="W28" s="4">
        <f t="shared" si="5"/>
        <v>0</v>
      </c>
      <c r="X28" s="3"/>
      <c r="Y28" s="3"/>
      <c r="Z28" s="4">
        <f t="shared" si="6"/>
        <v>0</v>
      </c>
      <c r="AA28" s="3"/>
      <c r="AB28" s="4"/>
      <c r="AC28" s="4">
        <f t="shared" si="7"/>
        <v>0</v>
      </c>
      <c r="AD28" s="3"/>
      <c r="AE28" s="3"/>
      <c r="AF28" s="4">
        <f t="shared" si="8"/>
        <v>0</v>
      </c>
      <c r="AG28" s="3"/>
      <c r="AH28" s="3"/>
      <c r="AI28" s="4">
        <f t="shared" si="9"/>
        <v>0</v>
      </c>
      <c r="AJ28" s="3"/>
      <c r="AK28" s="3"/>
      <c r="AL28" s="4">
        <f t="shared" si="10"/>
        <v>0</v>
      </c>
      <c r="AM28" s="4">
        <f t="shared" si="11"/>
        <v>0</v>
      </c>
      <c r="AN28" s="4">
        <f t="shared" si="12"/>
        <v>0</v>
      </c>
      <c r="AO28" s="4">
        <f t="shared" si="13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f>1516+1435+1516</f>
        <v>4467</v>
      </c>
      <c r="H29" s="4">
        <f t="shared" si="14"/>
        <v>4467</v>
      </c>
      <c r="I29" s="4"/>
      <c r="J29" s="4">
        <f>1516+1435+1516</f>
        <v>4467</v>
      </c>
      <c r="K29" s="4">
        <f t="shared" si="1"/>
        <v>4467</v>
      </c>
      <c r="L29" s="4"/>
      <c r="M29" s="4">
        <f>2616+1435+1516</f>
        <v>5567</v>
      </c>
      <c r="N29" s="4">
        <f t="shared" si="2"/>
        <v>5567</v>
      </c>
      <c r="O29" s="8"/>
      <c r="P29" s="3">
        <f>1516+1435+1516</f>
        <v>4467</v>
      </c>
      <c r="Q29" s="4">
        <f t="shared" si="3"/>
        <v>4467</v>
      </c>
      <c r="R29" s="3"/>
      <c r="S29" s="3">
        <f>1516+1435+1516</f>
        <v>4467</v>
      </c>
      <c r="T29" s="4">
        <f t="shared" si="4"/>
        <v>4467</v>
      </c>
      <c r="U29" s="3"/>
      <c r="V29" s="3">
        <f>2616+1435+1516</f>
        <v>5567</v>
      </c>
      <c r="W29" s="4">
        <f t="shared" si="5"/>
        <v>5567</v>
      </c>
      <c r="X29" s="3"/>
      <c r="Y29" s="3">
        <f>1516+1435+1516</f>
        <v>4467</v>
      </c>
      <c r="Z29" s="4">
        <f t="shared" si="6"/>
        <v>4467</v>
      </c>
      <c r="AA29" s="3"/>
      <c r="AB29" s="4">
        <f>1516+1435+1516</f>
        <v>4467</v>
      </c>
      <c r="AC29" s="4">
        <f t="shared" si="7"/>
        <v>4467</v>
      </c>
      <c r="AD29" s="3"/>
      <c r="AE29" s="3"/>
      <c r="AF29" s="4">
        <f t="shared" si="8"/>
        <v>0</v>
      </c>
      <c r="AG29" s="3"/>
      <c r="AH29" s="3"/>
      <c r="AI29" s="4">
        <f t="shared" si="9"/>
        <v>0</v>
      </c>
      <c r="AJ29" s="3"/>
      <c r="AK29" s="3"/>
      <c r="AL29" s="4">
        <f t="shared" si="10"/>
        <v>0</v>
      </c>
      <c r="AM29" s="4">
        <f t="shared" si="11"/>
        <v>0</v>
      </c>
      <c r="AN29" s="4">
        <f t="shared" si="12"/>
        <v>37936</v>
      </c>
      <c r="AO29" s="4">
        <f t="shared" si="13"/>
        <v>37936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36">SUM(D9:D28)</f>
        <v>405991.09</v>
      </c>
      <c r="E30" s="8">
        <f t="shared" si="36"/>
        <v>405991.09</v>
      </c>
      <c r="F30" s="8">
        <f t="shared" si="36"/>
        <v>0</v>
      </c>
      <c r="G30" s="8">
        <f>SUM(G9:G29)</f>
        <v>653244.4</v>
      </c>
      <c r="H30" s="8">
        <f>SUM(H9:H29)</f>
        <v>653244.4</v>
      </c>
      <c r="I30" s="8">
        <f t="shared" si="36"/>
        <v>0</v>
      </c>
      <c r="J30" s="8">
        <f t="shared" si="36"/>
        <v>759601.24000000011</v>
      </c>
      <c r="K30" s="8">
        <f>J30+I30</f>
        <v>759601.24000000011</v>
      </c>
      <c r="L30" s="8">
        <f t="shared" si="36"/>
        <v>0</v>
      </c>
      <c r="M30" s="8">
        <f t="shared" si="36"/>
        <v>543976.14999999991</v>
      </c>
      <c r="N30" s="8">
        <f>M30+L30</f>
        <v>543976.14999999991</v>
      </c>
      <c r="O30" s="8">
        <f t="shared" si="36"/>
        <v>0</v>
      </c>
      <c r="P30" s="8">
        <f t="shared" si="36"/>
        <v>684082.85</v>
      </c>
      <c r="Q30" s="8">
        <f>P30+O30</f>
        <v>684082.85</v>
      </c>
      <c r="R30" s="8">
        <f t="shared" si="36"/>
        <v>0</v>
      </c>
      <c r="S30" s="8">
        <f t="shared" si="36"/>
        <v>497851.39999999997</v>
      </c>
      <c r="T30" s="8">
        <f>S30+R30</f>
        <v>497851.39999999997</v>
      </c>
      <c r="U30" s="8">
        <f t="shared" si="36"/>
        <v>0</v>
      </c>
      <c r="V30" s="8">
        <f t="shared" si="36"/>
        <v>442781.30000000005</v>
      </c>
      <c r="W30" s="8">
        <f>V30+U30</f>
        <v>442781.30000000005</v>
      </c>
      <c r="X30" s="8">
        <f t="shared" si="36"/>
        <v>0</v>
      </c>
      <c r="Y30" s="8">
        <f t="shared" si="36"/>
        <v>623309.2699999999</v>
      </c>
      <c r="Z30" s="8">
        <f t="shared" si="6"/>
        <v>623309.2699999999</v>
      </c>
      <c r="AA30" s="8">
        <f t="shared" si="36"/>
        <v>0</v>
      </c>
      <c r="AB30" s="8">
        <f t="shared" si="36"/>
        <v>466194.2099999999</v>
      </c>
      <c r="AC30" s="8">
        <f>AB30+AA30</f>
        <v>466194.2099999999</v>
      </c>
      <c r="AD30" s="8">
        <f t="shared" si="36"/>
        <v>0</v>
      </c>
      <c r="AE30" s="8">
        <f t="shared" si="36"/>
        <v>0</v>
      </c>
      <c r="AF30" s="8">
        <f>AE30+AD30</f>
        <v>0</v>
      </c>
      <c r="AG30" s="8">
        <f t="shared" si="36"/>
        <v>0</v>
      </c>
      <c r="AH30" s="8">
        <f t="shared" si="36"/>
        <v>0</v>
      </c>
      <c r="AI30" s="8">
        <f>AH30+AG30</f>
        <v>0</v>
      </c>
      <c r="AJ30" s="8">
        <f t="shared" si="36"/>
        <v>0</v>
      </c>
      <c r="AK30" s="8">
        <f t="shared" si="36"/>
        <v>0</v>
      </c>
      <c r="AL30" s="8">
        <f>AK30+AJ30</f>
        <v>0</v>
      </c>
      <c r="AM30" s="8">
        <f t="shared" si="36"/>
        <v>0</v>
      </c>
      <c r="AN30" s="8">
        <f t="shared" si="36"/>
        <v>5072564.9099999992</v>
      </c>
      <c r="AO30" s="8">
        <f t="shared" si="36"/>
        <v>5072564.9099999992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S9" activePane="bottomRight" state="frozen"/>
      <selection pane="topRight" activeCell="C1" sqref="C1"/>
      <selection pane="bottomLeft" activeCell="A10" sqref="A10"/>
      <selection pane="bottomRight" activeCell="AC16" sqref="AC16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44140625" customWidth="1"/>
    <col min="5" max="5" width="11.109375" customWidth="1"/>
    <col min="6" max="6" width="11.6640625" customWidth="1"/>
    <col min="7" max="7" width="11.109375" customWidth="1"/>
    <col min="8" max="8" width="12" customWidth="1"/>
    <col min="9" max="9" width="11.109375" customWidth="1"/>
    <col min="10" max="10" width="11.5546875" customWidth="1"/>
    <col min="11" max="11" width="12" customWidth="1"/>
    <col min="12" max="12" width="12.44140625" customWidth="1"/>
    <col min="13" max="13" width="10.6640625" customWidth="1"/>
    <col min="14" max="14" width="11.109375" customWidth="1"/>
    <col min="15" max="15" width="12.5546875" customWidth="1"/>
    <col min="16" max="16" width="11.6640625" customWidth="1"/>
    <col min="17" max="17" width="11.109375" customWidth="1"/>
    <col min="18" max="18" width="11.44140625" customWidth="1"/>
    <col min="19" max="19" width="10.6640625" customWidth="1"/>
    <col min="20" max="20" width="12.6640625" customWidth="1"/>
    <col min="21" max="21" width="12.33203125" customWidth="1"/>
    <col min="22" max="22" width="11.44140625" customWidth="1"/>
    <col min="23" max="23" width="10.6640625" customWidth="1"/>
    <col min="24" max="24" width="11.44140625" customWidth="1"/>
    <col min="25" max="25" width="11.33203125" customWidth="1"/>
    <col min="26" max="26" width="11.109375" customWidth="1"/>
    <col min="27" max="27" width="11.44140625" customWidth="1"/>
    <col min="28" max="28" width="10.6640625" customWidth="1"/>
    <col min="29" max="29" width="11.5546875" customWidth="1"/>
    <col min="30" max="30" width="11.44140625" customWidth="1"/>
    <col min="31" max="31" width="11" customWidth="1"/>
    <col min="32" max="32" width="10.88671875" customWidth="1"/>
    <col min="33" max="33" width="11.33203125" customWidth="1"/>
    <col min="34" max="34" width="11.44140625" customWidth="1"/>
    <col min="35" max="35" width="10.5546875" customWidth="1"/>
    <col min="36" max="36" width="11.88671875" customWidth="1"/>
    <col min="37" max="37" width="12" customWidth="1"/>
    <col min="38" max="38" width="11.33203125" customWidth="1"/>
    <col min="39" max="39" width="12.5546875" customWidth="1"/>
    <col min="40" max="40" width="12.6640625" customWidth="1"/>
    <col min="41" max="41" width="12.1093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f>229040.13+192.5</f>
        <v>229232.63</v>
      </c>
      <c r="E9" s="4">
        <f>D9+C9</f>
        <v>229232.63</v>
      </c>
      <c r="F9" s="4"/>
      <c r="G9" s="4">
        <v>221689.37</v>
      </c>
      <c r="H9" s="4">
        <f>G9+F9</f>
        <v>221689.37</v>
      </c>
      <c r="I9" s="4"/>
      <c r="J9" s="4">
        <v>238602.73</v>
      </c>
      <c r="K9" s="4">
        <f>J9+I9</f>
        <v>238602.73</v>
      </c>
      <c r="L9" s="4"/>
      <c r="M9" s="4">
        <v>256947.93</v>
      </c>
      <c r="N9" s="4">
        <f>M9+L9</f>
        <v>256947.93</v>
      </c>
      <c r="O9" s="4"/>
      <c r="P9" s="3">
        <v>243007.7</v>
      </c>
      <c r="Q9" s="4">
        <f>P9+O9</f>
        <v>243007.7</v>
      </c>
      <c r="R9" s="3"/>
      <c r="S9" s="3">
        <v>236897.52</v>
      </c>
      <c r="T9" s="4">
        <f>S9+R9</f>
        <v>236897.52</v>
      </c>
      <c r="U9" s="3"/>
      <c r="V9" s="3">
        <v>210589.26</v>
      </c>
      <c r="W9" s="4">
        <f>V9+U9</f>
        <v>210589.26</v>
      </c>
      <c r="X9" s="3"/>
      <c r="Y9" s="3">
        <v>199295.24</v>
      </c>
      <c r="Z9" s="4">
        <f>Y9+X9</f>
        <v>199295.24</v>
      </c>
      <c r="AA9" s="3"/>
      <c r="AB9" s="3">
        <v>241098.1</v>
      </c>
      <c r="AC9" s="4">
        <f>AB9+AA9</f>
        <v>241098.1</v>
      </c>
      <c r="AD9" s="3"/>
      <c r="AE9" s="3"/>
      <c r="AF9" s="4">
        <f>AD9+AE9</f>
        <v>0</v>
      </c>
      <c r="AG9" s="3"/>
      <c r="AH9" s="3"/>
      <c r="AI9" s="4">
        <f t="shared" ref="AI9:AI22" si="0"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2077360.48</v>
      </c>
      <c r="AO9" s="4">
        <f>AL9+AI9+AF9+AC9+Z9+W9+T9+Q9+N9+K9+H9+E9</f>
        <v>2077360.48</v>
      </c>
    </row>
    <row r="10" spans="1:41" ht="20.100000000000001" customHeight="1">
      <c r="A10" s="3">
        <v>2120</v>
      </c>
      <c r="B10" s="3" t="s">
        <v>1</v>
      </c>
      <c r="C10" s="4"/>
      <c r="D10" s="4">
        <v>55928.95</v>
      </c>
      <c r="E10" s="4">
        <f t="shared" ref="E10:E29" si="1">D10+C10</f>
        <v>55928.95</v>
      </c>
      <c r="F10" s="4"/>
      <c r="G10" s="4">
        <v>50087.71</v>
      </c>
      <c r="H10" s="4">
        <f t="shared" ref="H10:H29" si="2">G10+F10</f>
        <v>50087.71</v>
      </c>
      <c r="I10" s="4"/>
      <c r="J10" s="4">
        <v>54746.57</v>
      </c>
      <c r="K10" s="4">
        <f t="shared" ref="K10:K29" si="3">J10+I10</f>
        <v>54746.57</v>
      </c>
      <c r="L10" s="4"/>
      <c r="M10" s="4">
        <v>57759.23</v>
      </c>
      <c r="N10" s="4">
        <f t="shared" ref="N10:N29" si="4">M10+L10</f>
        <v>57759.23</v>
      </c>
      <c r="O10" s="4"/>
      <c r="P10" s="3">
        <v>55567.21</v>
      </c>
      <c r="Q10" s="4">
        <f t="shared" ref="Q10:Q29" si="5">P10+O10</f>
        <v>55567.21</v>
      </c>
      <c r="R10" s="3"/>
      <c r="S10" s="3">
        <v>56898.25</v>
      </c>
      <c r="T10" s="4">
        <f t="shared" ref="T10:T29" si="6">S10+R10</f>
        <v>56898.25</v>
      </c>
      <c r="U10" s="3"/>
      <c r="V10" s="3">
        <v>46381.98</v>
      </c>
      <c r="W10" s="4">
        <f t="shared" ref="W10:W29" si="7">V10+U10</f>
        <v>46381.98</v>
      </c>
      <c r="X10" s="3"/>
      <c r="Y10" s="4">
        <v>47113.85</v>
      </c>
      <c r="Z10" s="4">
        <f t="shared" ref="Z10:Z30" si="8">Y10+X10</f>
        <v>47113.85</v>
      </c>
      <c r="AA10" s="3"/>
      <c r="AB10" s="3">
        <v>53345.24</v>
      </c>
      <c r="AC10" s="4">
        <f t="shared" ref="AC10:AC29" si="9">AB10+AA10</f>
        <v>53345.24</v>
      </c>
      <c r="AD10" s="3"/>
      <c r="AE10" s="3"/>
      <c r="AF10" s="4">
        <f t="shared" ref="AF10:AF29" si="10">AD10+AE10</f>
        <v>0</v>
      </c>
      <c r="AG10" s="3"/>
      <c r="AH10" s="3"/>
      <c r="AI10" s="4">
        <f t="shared" si="0"/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2" si="13">AK10+AH10+AE10+AB10+Y10+V10+S10+P10+M10+J10+G10+D10</f>
        <v>477828.99000000005</v>
      </c>
      <c r="AO10" s="4">
        <f t="shared" ref="AO10:AO29" si="14">AL10+AI10+AF10+AC10+Z10+W10+T10+Q10+N10+K10+H10+E10</f>
        <v>477828.99000000005</v>
      </c>
    </row>
    <row r="11" spans="1:41" ht="20.100000000000001" customHeight="1">
      <c r="A11" s="3">
        <v>2210</v>
      </c>
      <c r="B11" s="3" t="s">
        <v>2</v>
      </c>
      <c r="C11" s="4"/>
      <c r="D11" s="4">
        <v>2091.2399999999998</v>
      </c>
      <c r="E11" s="4">
        <f t="shared" si="1"/>
        <v>2091.2399999999998</v>
      </c>
      <c r="F11" s="4"/>
      <c r="G11" s="4">
        <v>2416.0300000000002</v>
      </c>
      <c r="H11" s="4">
        <f t="shared" si="2"/>
        <v>2416.0300000000002</v>
      </c>
      <c r="I11" s="4"/>
      <c r="J11" s="4">
        <v>1664.13</v>
      </c>
      <c r="K11" s="4">
        <f t="shared" si="3"/>
        <v>1664.13</v>
      </c>
      <c r="L11" s="4"/>
      <c r="M11" s="4">
        <v>931.14</v>
      </c>
      <c r="N11" s="4">
        <f t="shared" si="4"/>
        <v>931.14</v>
      </c>
      <c r="O11" s="8"/>
      <c r="P11" s="3">
        <v>1662.74</v>
      </c>
      <c r="Q11" s="4">
        <f t="shared" si="5"/>
        <v>1662.74</v>
      </c>
      <c r="R11" s="3"/>
      <c r="S11" s="3">
        <v>814.05</v>
      </c>
      <c r="T11" s="4">
        <f t="shared" si="6"/>
        <v>814.05</v>
      </c>
      <c r="U11" s="3"/>
      <c r="V11" s="3">
        <v>716.39</v>
      </c>
      <c r="W11" s="4">
        <f t="shared" si="7"/>
        <v>716.39</v>
      </c>
      <c r="X11" s="3"/>
      <c r="Y11" s="3">
        <v>20598.830000000002</v>
      </c>
      <c r="Z11" s="4">
        <f t="shared" si="8"/>
        <v>20598.830000000002</v>
      </c>
      <c r="AA11" s="3"/>
      <c r="AB11" s="3">
        <v>3248.82</v>
      </c>
      <c r="AC11" s="4">
        <f t="shared" si="9"/>
        <v>3248.82</v>
      </c>
      <c r="AD11" s="3"/>
      <c r="AE11" s="4"/>
      <c r="AF11" s="4">
        <f t="shared" si="10"/>
        <v>0</v>
      </c>
      <c r="AG11" s="3"/>
      <c r="AH11" s="3"/>
      <c r="AI11" s="4">
        <f t="shared" si="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34143.370000000003</v>
      </c>
      <c r="AO11" s="4">
        <f t="shared" si="14"/>
        <v>34143.370000000003</v>
      </c>
    </row>
    <row r="12" spans="1:41" ht="20.100000000000001" customHeight="1">
      <c r="A12" s="3">
        <v>2220</v>
      </c>
      <c r="B12" s="3" t="s">
        <v>3</v>
      </c>
      <c r="C12" s="4"/>
      <c r="D12" s="4">
        <v>1120</v>
      </c>
      <c r="E12" s="4">
        <f t="shared" si="1"/>
        <v>1120</v>
      </c>
      <c r="F12" s="4"/>
      <c r="G12" s="4">
        <v>1120</v>
      </c>
      <c r="H12" s="4">
        <f t="shared" si="2"/>
        <v>1120</v>
      </c>
      <c r="I12" s="4"/>
      <c r="J12" s="4">
        <v>1120</v>
      </c>
      <c r="K12" s="4">
        <f t="shared" si="3"/>
        <v>1120</v>
      </c>
      <c r="L12" s="4"/>
      <c r="M12" s="4">
        <v>1120</v>
      </c>
      <c r="N12" s="4">
        <f t="shared" si="4"/>
        <v>1120</v>
      </c>
      <c r="O12" s="8"/>
      <c r="P12" s="3"/>
      <c r="Q12" s="4">
        <f t="shared" si="5"/>
        <v>0</v>
      </c>
      <c r="R12" s="3"/>
      <c r="S12" s="3">
        <v>840</v>
      </c>
      <c r="T12" s="4">
        <f t="shared" si="6"/>
        <v>840</v>
      </c>
      <c r="U12" s="3"/>
      <c r="V12" s="3">
        <v>840</v>
      </c>
      <c r="W12" s="4">
        <f t="shared" si="7"/>
        <v>840</v>
      </c>
      <c r="X12" s="3"/>
      <c r="Y12" s="3">
        <v>840</v>
      </c>
      <c r="Z12" s="4">
        <f t="shared" si="8"/>
        <v>840</v>
      </c>
      <c r="AA12" s="3"/>
      <c r="AB12" s="3">
        <v>1165</v>
      </c>
      <c r="AC12" s="4">
        <f t="shared" si="9"/>
        <v>1165</v>
      </c>
      <c r="AD12" s="3"/>
      <c r="AE12" s="4"/>
      <c r="AF12" s="4">
        <f t="shared" si="10"/>
        <v>0</v>
      </c>
      <c r="AG12" s="3"/>
      <c r="AH12" s="3"/>
      <c r="AI12" s="4">
        <f t="shared" si="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8165</v>
      </c>
      <c r="AO12" s="4">
        <f t="shared" si="14"/>
        <v>8165</v>
      </c>
    </row>
    <row r="13" spans="1:41" ht="20.100000000000001" customHeight="1">
      <c r="A13" s="3">
        <v>2230</v>
      </c>
      <c r="B13" s="3" t="s">
        <v>4</v>
      </c>
      <c r="C13" s="4"/>
      <c r="D13" s="4">
        <v>20502.03</v>
      </c>
      <c r="E13" s="4">
        <f t="shared" si="1"/>
        <v>20502.03</v>
      </c>
      <c r="F13" s="4"/>
      <c r="G13" s="4">
        <v>24050.81</v>
      </c>
      <c r="H13" s="4">
        <f t="shared" si="2"/>
        <v>24050.81</v>
      </c>
      <c r="I13" s="4"/>
      <c r="J13" s="4">
        <v>19550.36</v>
      </c>
      <c r="K13" s="4">
        <f t="shared" si="3"/>
        <v>19550.36</v>
      </c>
      <c r="L13" s="4"/>
      <c r="M13" s="4">
        <v>29647.52</v>
      </c>
      <c r="N13" s="4">
        <f t="shared" si="4"/>
        <v>29647.52</v>
      </c>
      <c r="O13" s="4"/>
      <c r="P13" s="4">
        <v>22199.119999999999</v>
      </c>
      <c r="Q13" s="4">
        <f t="shared" si="5"/>
        <v>22199.119999999999</v>
      </c>
      <c r="R13" s="3"/>
      <c r="S13" s="3"/>
      <c r="T13" s="4">
        <f t="shared" si="6"/>
        <v>0</v>
      </c>
      <c r="U13" s="3"/>
      <c r="V13" s="3"/>
      <c r="W13" s="4">
        <f t="shared" si="7"/>
        <v>0</v>
      </c>
      <c r="X13" s="3"/>
      <c r="Y13" s="3"/>
      <c r="Z13" s="4">
        <f t="shared" si="8"/>
        <v>0</v>
      </c>
      <c r="AA13" s="3"/>
      <c r="AB13" s="3">
        <v>23047.79</v>
      </c>
      <c r="AC13" s="4">
        <f t="shared" si="9"/>
        <v>23047.79</v>
      </c>
      <c r="AD13" s="3"/>
      <c r="AE13" s="4"/>
      <c r="AF13" s="4">
        <f t="shared" si="10"/>
        <v>0</v>
      </c>
      <c r="AG13" s="3"/>
      <c r="AH13" s="4"/>
      <c r="AI13" s="4">
        <f t="shared" si="0"/>
        <v>0</v>
      </c>
      <c r="AJ13" s="3"/>
      <c r="AK13" s="3"/>
      <c r="AL13" s="4">
        <f t="shared" si="11"/>
        <v>0</v>
      </c>
      <c r="AM13" s="4">
        <f t="shared" si="12"/>
        <v>0</v>
      </c>
      <c r="AN13" s="4">
        <f t="shared" si="13"/>
        <v>138997.63</v>
      </c>
      <c r="AO13" s="4">
        <f t="shared" si="14"/>
        <v>138997.63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1"/>
        <v>0</v>
      </c>
      <c r="F14" s="4"/>
      <c r="G14" s="4">
        <f>150+6982.43</f>
        <v>7132.43</v>
      </c>
      <c r="H14" s="4">
        <f t="shared" si="2"/>
        <v>7132.43</v>
      </c>
      <c r="I14" s="4"/>
      <c r="J14" s="4">
        <f>156465.53+150</f>
        <v>156615.53</v>
      </c>
      <c r="K14" s="4">
        <f t="shared" si="3"/>
        <v>156615.53</v>
      </c>
      <c r="L14" s="4"/>
      <c r="M14" s="4">
        <f>150+33577.75</f>
        <v>33727.75</v>
      </c>
      <c r="N14" s="4">
        <f t="shared" si="4"/>
        <v>33727.75</v>
      </c>
      <c r="O14" s="4"/>
      <c r="P14" s="3">
        <f>113898.86+150</f>
        <v>114048.86</v>
      </c>
      <c r="Q14" s="4">
        <f t="shared" si="5"/>
        <v>114048.86</v>
      </c>
      <c r="R14" s="3"/>
      <c r="S14" s="3">
        <f>10196.48+150</f>
        <v>10346.48</v>
      </c>
      <c r="T14" s="4">
        <f t="shared" si="6"/>
        <v>10346.48</v>
      </c>
      <c r="U14" s="3"/>
      <c r="V14" s="3">
        <f>11626.5+150</f>
        <v>11776.5</v>
      </c>
      <c r="W14" s="4">
        <f t="shared" si="7"/>
        <v>11776.5</v>
      </c>
      <c r="X14" s="3"/>
      <c r="Y14" s="3">
        <f>150+95812.07</f>
        <v>95962.07</v>
      </c>
      <c r="Z14" s="4">
        <f t="shared" si="8"/>
        <v>95962.07</v>
      </c>
      <c r="AA14" s="3"/>
      <c r="AB14" s="3">
        <f>14158.88+150</f>
        <v>14308.88</v>
      </c>
      <c r="AC14" s="4">
        <f t="shared" si="9"/>
        <v>14308.88</v>
      </c>
      <c r="AD14" s="3"/>
      <c r="AE14" s="3"/>
      <c r="AF14" s="4">
        <f t="shared" si="10"/>
        <v>0</v>
      </c>
      <c r="AG14" s="3"/>
      <c r="AH14" s="3"/>
      <c r="AI14" s="4">
        <f t="shared" si="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443918.50000000006</v>
      </c>
      <c r="AO14" s="4">
        <f t="shared" si="14"/>
        <v>443918.50000000006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1"/>
        <v>0</v>
      </c>
      <c r="F15" s="4"/>
      <c r="G15" s="4"/>
      <c r="H15" s="4">
        <f t="shared" si="2"/>
        <v>0</v>
      </c>
      <c r="I15" s="4"/>
      <c r="J15" s="4"/>
      <c r="K15" s="4">
        <f t="shared" si="3"/>
        <v>0</v>
      </c>
      <c r="L15" s="4"/>
      <c r="M15" s="4"/>
      <c r="N15" s="4">
        <f t="shared" si="4"/>
        <v>0</v>
      </c>
      <c r="O15" s="8"/>
      <c r="P15" s="3"/>
      <c r="Q15" s="4">
        <f t="shared" si="5"/>
        <v>0</v>
      </c>
      <c r="R15" s="3"/>
      <c r="S15" s="3"/>
      <c r="T15" s="4">
        <f t="shared" si="6"/>
        <v>0</v>
      </c>
      <c r="U15" s="3"/>
      <c r="V15" s="3"/>
      <c r="W15" s="4">
        <f t="shared" si="7"/>
        <v>0</v>
      </c>
      <c r="X15" s="3"/>
      <c r="Y15" s="3"/>
      <c r="Z15" s="4">
        <f t="shared" si="8"/>
        <v>0</v>
      </c>
      <c r="AA15" s="3"/>
      <c r="AB15" s="4"/>
      <c r="AC15" s="4">
        <f t="shared" si="9"/>
        <v>0</v>
      </c>
      <c r="AD15" s="3"/>
      <c r="AE15" s="3"/>
      <c r="AF15" s="4">
        <f t="shared" si="10"/>
        <v>0</v>
      </c>
      <c r="AG15" s="3"/>
      <c r="AH15" s="4"/>
      <c r="AI15" s="4">
        <f t="shared" si="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1"/>
        <v>0</v>
      </c>
      <c r="F16" s="4"/>
      <c r="G16" s="4"/>
      <c r="H16" s="4">
        <f t="shared" si="2"/>
        <v>0</v>
      </c>
      <c r="I16" s="4"/>
      <c r="J16" s="4"/>
      <c r="K16" s="4">
        <f t="shared" si="3"/>
        <v>0</v>
      </c>
      <c r="L16" s="4"/>
      <c r="M16" s="4"/>
      <c r="N16" s="4">
        <f t="shared" si="4"/>
        <v>0</v>
      </c>
      <c r="O16" s="8"/>
      <c r="P16" s="3"/>
      <c r="Q16" s="4">
        <f t="shared" si="5"/>
        <v>0</v>
      </c>
      <c r="R16" s="3"/>
      <c r="S16" s="3"/>
      <c r="T16" s="4">
        <f t="shared" si="6"/>
        <v>0</v>
      </c>
      <c r="U16" s="3"/>
      <c r="V16" s="3"/>
      <c r="W16" s="4">
        <f t="shared" si="7"/>
        <v>0</v>
      </c>
      <c r="X16" s="3"/>
      <c r="Y16" s="3"/>
      <c r="Z16" s="4">
        <f t="shared" si="8"/>
        <v>0</v>
      </c>
      <c r="AA16" s="3"/>
      <c r="AB16" s="4"/>
      <c r="AC16" s="4">
        <f t="shared" si="9"/>
        <v>0</v>
      </c>
      <c r="AD16" s="3"/>
      <c r="AE16" s="3"/>
      <c r="AF16" s="4">
        <f t="shared" si="10"/>
        <v>0</v>
      </c>
      <c r="AG16" s="3"/>
      <c r="AH16" s="3"/>
      <c r="AI16" s="4">
        <f t="shared" si="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1"/>
        <v>0</v>
      </c>
      <c r="F17" s="4"/>
      <c r="G17" s="4">
        <f>535220.7</f>
        <v>535220.69999999995</v>
      </c>
      <c r="H17" s="4">
        <f t="shared" si="2"/>
        <v>535220.69999999995</v>
      </c>
      <c r="I17" s="4"/>
      <c r="J17" s="4">
        <v>727160.21</v>
      </c>
      <c r="K17" s="4">
        <f t="shared" si="3"/>
        <v>727160.21</v>
      </c>
      <c r="L17" s="4"/>
      <c r="M17" s="4">
        <v>308749.28999999998</v>
      </c>
      <c r="N17" s="4">
        <f t="shared" si="4"/>
        <v>308749.28999999998</v>
      </c>
      <c r="O17" s="4"/>
      <c r="P17" s="3"/>
      <c r="Q17" s="4">
        <f t="shared" si="5"/>
        <v>0</v>
      </c>
      <c r="R17" s="3"/>
      <c r="S17" s="3"/>
      <c r="T17" s="4">
        <f t="shared" si="6"/>
        <v>0</v>
      </c>
      <c r="U17" s="3"/>
      <c r="V17" s="3"/>
      <c r="W17" s="4">
        <f t="shared" si="7"/>
        <v>0</v>
      </c>
      <c r="X17" s="3"/>
      <c r="Y17" s="3"/>
      <c r="Z17" s="4">
        <f t="shared" si="8"/>
        <v>0</v>
      </c>
      <c r="AA17" s="3"/>
      <c r="AB17" s="4"/>
      <c r="AC17" s="4">
        <f t="shared" si="9"/>
        <v>0</v>
      </c>
      <c r="AD17" s="3"/>
      <c r="AE17" s="3"/>
      <c r="AF17" s="4">
        <f t="shared" si="10"/>
        <v>0</v>
      </c>
      <c r="AG17" s="3"/>
      <c r="AH17" s="3"/>
      <c r="AI17" s="4">
        <f t="shared" si="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1571130.2</v>
      </c>
      <c r="AO17" s="4">
        <f t="shared" si="14"/>
        <v>1571130.2</v>
      </c>
    </row>
    <row r="18" spans="1:41" ht="20.100000000000001" customHeight="1">
      <c r="A18" s="3">
        <v>2272</v>
      </c>
      <c r="B18" s="3" t="s">
        <v>9</v>
      </c>
      <c r="C18" s="4"/>
      <c r="D18" s="4">
        <v>5715.36</v>
      </c>
      <c r="E18" s="4">
        <f t="shared" si="1"/>
        <v>5715.36</v>
      </c>
      <c r="F18" s="4"/>
      <c r="G18" s="4">
        <v>7902.72</v>
      </c>
      <c r="H18" s="4">
        <f t="shared" si="2"/>
        <v>7902.72</v>
      </c>
      <c r="I18" s="4"/>
      <c r="J18" s="4">
        <v>6562.08</v>
      </c>
      <c r="K18" s="4">
        <f t="shared" si="3"/>
        <v>6562.08</v>
      </c>
      <c r="L18" s="4"/>
      <c r="M18" s="4">
        <v>7620.48</v>
      </c>
      <c r="N18" s="4">
        <f t="shared" si="4"/>
        <v>7620.48</v>
      </c>
      <c r="O18" s="4"/>
      <c r="P18" s="3">
        <v>9031.68</v>
      </c>
      <c r="Q18" s="4">
        <f t="shared" si="5"/>
        <v>9031.68</v>
      </c>
      <c r="R18" s="3"/>
      <c r="S18" s="3">
        <v>7897.87</v>
      </c>
      <c r="T18" s="4">
        <f t="shared" si="6"/>
        <v>7897.87</v>
      </c>
      <c r="U18" s="3"/>
      <c r="V18" s="3">
        <v>2903.31</v>
      </c>
      <c r="W18" s="4">
        <f t="shared" si="7"/>
        <v>2903.31</v>
      </c>
      <c r="X18" s="3"/>
      <c r="Y18" s="3">
        <v>1961.7</v>
      </c>
      <c r="Z18" s="4">
        <f t="shared" si="8"/>
        <v>1961.7</v>
      </c>
      <c r="AA18" s="3"/>
      <c r="AB18" s="3">
        <v>5414.29</v>
      </c>
      <c r="AC18" s="4">
        <f t="shared" si="9"/>
        <v>5414.29</v>
      </c>
      <c r="AD18" s="3"/>
      <c r="AE18" s="3"/>
      <c r="AF18" s="4">
        <f t="shared" si="10"/>
        <v>0</v>
      </c>
      <c r="AG18" s="3"/>
      <c r="AH18" s="3"/>
      <c r="AI18" s="4">
        <f t="shared" si="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55009.490000000005</v>
      </c>
      <c r="AO18" s="4">
        <f t="shared" si="14"/>
        <v>55009.490000000005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1"/>
        <v>0</v>
      </c>
      <c r="F19" s="4"/>
      <c r="G19" s="4">
        <v>43605.86</v>
      </c>
      <c r="H19" s="4">
        <f t="shared" si="2"/>
        <v>43605.86</v>
      </c>
      <c r="I19" s="4"/>
      <c r="J19" s="4">
        <v>50050.62</v>
      </c>
      <c r="K19" s="4">
        <f t="shared" si="3"/>
        <v>50050.62</v>
      </c>
      <c r="L19" s="4"/>
      <c r="M19" s="4">
        <v>56130.03</v>
      </c>
      <c r="N19" s="4">
        <f t="shared" si="4"/>
        <v>56130.03</v>
      </c>
      <c r="O19" s="4"/>
      <c r="P19" s="3">
        <v>65570.2</v>
      </c>
      <c r="Q19" s="4">
        <f t="shared" si="5"/>
        <v>65570.2</v>
      </c>
      <c r="R19" s="3"/>
      <c r="S19" s="3">
        <v>43951.59</v>
      </c>
      <c r="T19" s="4">
        <f t="shared" si="6"/>
        <v>43951.59</v>
      </c>
      <c r="U19" s="3"/>
      <c r="V19" s="3">
        <v>10993.31</v>
      </c>
      <c r="W19" s="4">
        <f t="shared" si="7"/>
        <v>10993.31</v>
      </c>
      <c r="X19" s="3"/>
      <c r="Y19" s="3">
        <v>3152.59</v>
      </c>
      <c r="Z19" s="4">
        <f t="shared" si="8"/>
        <v>3152.59</v>
      </c>
      <c r="AA19" s="3"/>
      <c r="AB19" s="3">
        <v>5640.05</v>
      </c>
      <c r="AC19" s="4">
        <f t="shared" si="9"/>
        <v>5640.05</v>
      </c>
      <c r="AD19" s="3"/>
      <c r="AE19" s="3"/>
      <c r="AF19" s="4">
        <f t="shared" si="10"/>
        <v>0</v>
      </c>
      <c r="AG19" s="3"/>
      <c r="AH19" s="3"/>
      <c r="AI19" s="4">
        <f t="shared" si="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279094.25</v>
      </c>
      <c r="AO19" s="4">
        <f t="shared" si="14"/>
        <v>279094.25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1"/>
        <v>0</v>
      </c>
      <c r="F20" s="4"/>
      <c r="G20" s="4"/>
      <c r="H20" s="4">
        <f t="shared" si="2"/>
        <v>0</v>
      </c>
      <c r="I20" s="4"/>
      <c r="J20" s="4"/>
      <c r="K20" s="4">
        <f t="shared" si="3"/>
        <v>0</v>
      </c>
      <c r="L20" s="4"/>
      <c r="M20" s="4"/>
      <c r="N20" s="4">
        <f t="shared" si="4"/>
        <v>0</v>
      </c>
      <c r="O20" s="8"/>
      <c r="P20" s="3"/>
      <c r="Q20" s="4">
        <f t="shared" si="5"/>
        <v>0</v>
      </c>
      <c r="R20" s="3"/>
      <c r="S20" s="3"/>
      <c r="T20" s="4">
        <f t="shared" si="6"/>
        <v>0</v>
      </c>
      <c r="U20" s="3"/>
      <c r="V20" s="3"/>
      <c r="W20" s="4">
        <f t="shared" si="7"/>
        <v>0</v>
      </c>
      <c r="X20" s="3"/>
      <c r="Y20" s="3"/>
      <c r="Z20" s="4">
        <f t="shared" si="8"/>
        <v>0</v>
      </c>
      <c r="AA20" s="3"/>
      <c r="AB20" s="4"/>
      <c r="AC20" s="4">
        <f t="shared" si="9"/>
        <v>0</v>
      </c>
      <c r="AD20" s="3"/>
      <c r="AE20" s="3"/>
      <c r="AF20" s="4">
        <f t="shared" si="10"/>
        <v>0</v>
      </c>
      <c r="AG20" s="3"/>
      <c r="AH20" s="3"/>
      <c r="AI20" s="4">
        <f t="shared" si="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28799.33</v>
      </c>
      <c r="E21" s="4">
        <f t="shared" si="1"/>
        <v>28799.33</v>
      </c>
      <c r="F21" s="4"/>
      <c r="G21" s="4">
        <v>23596.03</v>
      </c>
      <c r="H21" s="4">
        <f t="shared" si="2"/>
        <v>23596.03</v>
      </c>
      <c r="I21" s="4"/>
      <c r="J21" s="4">
        <v>2094.13</v>
      </c>
      <c r="K21" s="4">
        <f t="shared" si="3"/>
        <v>2094.13</v>
      </c>
      <c r="L21" s="4"/>
      <c r="M21" s="4">
        <v>2355.9</v>
      </c>
      <c r="N21" s="4">
        <f t="shared" si="4"/>
        <v>2355.9</v>
      </c>
      <c r="O21" s="8"/>
      <c r="P21" s="3">
        <v>16197.44</v>
      </c>
      <c r="Q21" s="4">
        <f t="shared" si="5"/>
        <v>16197.44</v>
      </c>
      <c r="R21" s="3"/>
      <c r="S21" s="3">
        <v>2356.12</v>
      </c>
      <c r="T21" s="4">
        <f t="shared" si="6"/>
        <v>2356.12</v>
      </c>
      <c r="U21" s="3"/>
      <c r="V21" s="3">
        <v>2356.0500000000002</v>
      </c>
      <c r="W21" s="4">
        <f t="shared" si="7"/>
        <v>2356.0500000000002</v>
      </c>
      <c r="X21" s="3"/>
      <c r="Y21" s="3">
        <v>10754.48</v>
      </c>
      <c r="Z21" s="4">
        <f t="shared" si="8"/>
        <v>10754.48</v>
      </c>
      <c r="AA21" s="3"/>
      <c r="AB21" s="3">
        <v>3537.75</v>
      </c>
      <c r="AC21" s="4">
        <f t="shared" si="9"/>
        <v>3537.75</v>
      </c>
      <c r="AD21" s="3"/>
      <c r="AE21" s="3"/>
      <c r="AF21" s="4">
        <f t="shared" si="10"/>
        <v>0</v>
      </c>
      <c r="AG21" s="3"/>
      <c r="AH21" s="3"/>
      <c r="AI21" s="4">
        <f t="shared" si="0"/>
        <v>0</v>
      </c>
      <c r="AJ21" s="3"/>
      <c r="AK21" s="4"/>
      <c r="AL21" s="4">
        <f t="shared" si="11"/>
        <v>0</v>
      </c>
      <c r="AM21" s="4">
        <f t="shared" si="12"/>
        <v>0</v>
      </c>
      <c r="AN21" s="4">
        <f t="shared" si="13"/>
        <v>92047.23</v>
      </c>
      <c r="AO21" s="4">
        <f t="shared" si="14"/>
        <v>92047.23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1"/>
        <v>0</v>
      </c>
      <c r="F22" s="4"/>
      <c r="G22" s="4"/>
      <c r="H22" s="4">
        <f t="shared" si="2"/>
        <v>0</v>
      </c>
      <c r="I22" s="4"/>
      <c r="J22" s="4"/>
      <c r="K22" s="4">
        <f t="shared" si="3"/>
        <v>0</v>
      </c>
      <c r="L22" s="4"/>
      <c r="M22" s="4"/>
      <c r="N22" s="4">
        <f t="shared" si="4"/>
        <v>0</v>
      </c>
      <c r="O22" s="8"/>
      <c r="P22" s="3">
        <v>2880</v>
      </c>
      <c r="Q22" s="4">
        <f t="shared" si="5"/>
        <v>2880</v>
      </c>
      <c r="R22" s="3"/>
      <c r="S22" s="3">
        <v>600</v>
      </c>
      <c r="T22" s="4">
        <f t="shared" si="6"/>
        <v>600</v>
      </c>
      <c r="U22" s="3"/>
      <c r="V22" s="3"/>
      <c r="W22" s="4">
        <f t="shared" si="7"/>
        <v>0</v>
      </c>
      <c r="X22" s="3"/>
      <c r="Y22" s="3">
        <v>1020</v>
      </c>
      <c r="Z22" s="4">
        <f t="shared" si="8"/>
        <v>1020</v>
      </c>
      <c r="AA22" s="3"/>
      <c r="AB22" s="4"/>
      <c r="AC22" s="4">
        <f t="shared" si="9"/>
        <v>0</v>
      </c>
      <c r="AD22" s="3"/>
      <c r="AE22" s="3"/>
      <c r="AF22" s="4">
        <f t="shared" si="10"/>
        <v>0</v>
      </c>
      <c r="AG22" s="3"/>
      <c r="AH22" s="3"/>
      <c r="AI22" s="4">
        <f t="shared" si="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4500</v>
      </c>
      <c r="AO22" s="4">
        <f t="shared" si="14"/>
        <v>4500</v>
      </c>
    </row>
    <row r="23" spans="1:41" ht="33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8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7" customHeight="1">
      <c r="A24" s="3">
        <v>2800</v>
      </c>
      <c r="B24" s="3" t="s">
        <v>44</v>
      </c>
      <c r="C24" s="4"/>
      <c r="D24" s="4"/>
      <c r="E24" s="4">
        <f t="shared" si="1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2"/>
        <v>0</v>
      </c>
      <c r="I24" s="4">
        <f t="shared" ref="I24" si="17">H24+G24</f>
        <v>0</v>
      </c>
      <c r="J24" s="4"/>
      <c r="K24" s="4">
        <f t="shared" si="3"/>
        <v>0</v>
      </c>
      <c r="L24" s="4"/>
      <c r="M24" s="4"/>
      <c r="N24" s="4">
        <f t="shared" si="4"/>
        <v>0</v>
      </c>
      <c r="O24" s="4">
        <f t="shared" ref="O24" si="18">N24+M24</f>
        <v>0</v>
      </c>
      <c r="P24" s="4">
        <v>19470.39</v>
      </c>
      <c r="Q24" s="4">
        <f t="shared" si="5"/>
        <v>19470.39</v>
      </c>
      <c r="R24" s="4"/>
      <c r="S24" s="4"/>
      <c r="T24" s="4">
        <f t="shared" si="6"/>
        <v>0</v>
      </c>
      <c r="U24" s="4">
        <f t="shared" ref="U24" si="19">T24+S24</f>
        <v>0</v>
      </c>
      <c r="V24" s="4">
        <f t="shared" ref="V24" si="20">U24+T24</f>
        <v>0</v>
      </c>
      <c r="W24" s="4">
        <f t="shared" si="7"/>
        <v>0</v>
      </c>
      <c r="X24" s="4">
        <f t="shared" ref="X24" si="21">W24+V24</f>
        <v>0</v>
      </c>
      <c r="Y24" s="4">
        <v>25447.439999999999</v>
      </c>
      <c r="Z24" s="4">
        <f t="shared" si="8"/>
        <v>25447.439999999999</v>
      </c>
      <c r="AA24" s="4"/>
      <c r="AB24" s="4"/>
      <c r="AC24" s="4">
        <f t="shared" si="9"/>
        <v>0</v>
      </c>
      <c r="AD24" s="4">
        <f t="shared" ref="AD24" si="22">AC24+AB24</f>
        <v>0</v>
      </c>
      <c r="AE24" s="4">
        <f t="shared" ref="AE24" si="23">AD24+AC24</f>
        <v>0</v>
      </c>
      <c r="AF24" s="4">
        <f t="shared" ref="AF24" si="24">AE24+AD24</f>
        <v>0</v>
      </c>
      <c r="AG24" s="4">
        <f t="shared" ref="AG24" si="25">AF24+AE24</f>
        <v>0</v>
      </c>
      <c r="AH24" s="4">
        <f t="shared" ref="AH24" si="26">AG24+AF24</f>
        <v>0</v>
      </c>
      <c r="AI24" s="4">
        <f>AH24+AG24</f>
        <v>0</v>
      </c>
      <c r="AJ24" s="4">
        <f>AI24+AH24</f>
        <v>0</v>
      </c>
      <c r="AK24" s="4">
        <f t="shared" ref="AK24" si="27">AJ24+AI24</f>
        <v>0</v>
      </c>
      <c r="AL24" s="4">
        <f t="shared" si="11"/>
        <v>0</v>
      </c>
      <c r="AM24" s="4">
        <f t="shared" ref="AM24" si="28">AL24+AK24</f>
        <v>0</v>
      </c>
      <c r="AN24" s="4">
        <f t="shared" ref="AN24:AN29" si="29">AK24+AH24+AE24+AB24+Y24+V24+S24+P24+M24+J24+G24+D24</f>
        <v>44917.83</v>
      </c>
      <c r="AO24" s="4">
        <f t="shared" si="14"/>
        <v>44917.83</v>
      </c>
    </row>
    <row r="25" spans="1:41" ht="31.5" customHeight="1">
      <c r="A25" s="3">
        <v>3110</v>
      </c>
      <c r="B25" s="5" t="s">
        <v>15</v>
      </c>
      <c r="C25" s="4"/>
      <c r="D25" s="4"/>
      <c r="E25" s="4">
        <f t="shared" si="1"/>
        <v>0</v>
      </c>
      <c r="F25" s="4"/>
      <c r="G25" s="4"/>
      <c r="H25" s="4">
        <f t="shared" si="2"/>
        <v>0</v>
      </c>
      <c r="I25" s="4"/>
      <c r="J25" s="4"/>
      <c r="K25" s="4">
        <f t="shared" si="3"/>
        <v>0</v>
      </c>
      <c r="L25" s="4"/>
      <c r="M25" s="4"/>
      <c r="N25" s="4">
        <f t="shared" si="4"/>
        <v>0</v>
      </c>
      <c r="O25" s="8"/>
      <c r="P25" s="3"/>
      <c r="Q25" s="4">
        <f t="shared" si="5"/>
        <v>0</v>
      </c>
      <c r="R25" s="3"/>
      <c r="S25" s="3"/>
      <c r="T25" s="4">
        <f t="shared" si="6"/>
        <v>0</v>
      </c>
      <c r="U25" s="3"/>
      <c r="V25" s="3"/>
      <c r="W25" s="4">
        <f t="shared" si="7"/>
        <v>0</v>
      </c>
      <c r="X25" s="3"/>
      <c r="Y25" s="3"/>
      <c r="Z25" s="4">
        <f t="shared" si="8"/>
        <v>0</v>
      </c>
      <c r="AA25" s="3"/>
      <c r="AB25" s="4"/>
      <c r="AC25" s="4">
        <f t="shared" si="9"/>
        <v>0</v>
      </c>
      <c r="AD25" s="3"/>
      <c r="AE25" s="3"/>
      <c r="AF25" s="4">
        <f t="shared" si="10"/>
        <v>0</v>
      </c>
      <c r="AG25" s="3"/>
      <c r="AH25" s="3"/>
      <c r="AI25" s="4">
        <f t="shared" ref="AI25:AI30" si="30">AH25+AG25</f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29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1"/>
        <v>0</v>
      </c>
      <c r="F26" s="4"/>
      <c r="G26" s="4"/>
      <c r="H26" s="4">
        <f t="shared" si="2"/>
        <v>0</v>
      </c>
      <c r="I26" s="4"/>
      <c r="J26" s="4"/>
      <c r="K26" s="4">
        <f t="shared" si="3"/>
        <v>0</v>
      </c>
      <c r="L26" s="4"/>
      <c r="M26" s="4"/>
      <c r="N26" s="4">
        <f t="shared" si="4"/>
        <v>0</v>
      </c>
      <c r="O26" s="8"/>
      <c r="P26" s="3"/>
      <c r="Q26" s="4">
        <f t="shared" si="5"/>
        <v>0</v>
      </c>
      <c r="R26" s="3"/>
      <c r="S26" s="3"/>
      <c r="T26" s="4">
        <f t="shared" si="6"/>
        <v>0</v>
      </c>
      <c r="U26" s="3"/>
      <c r="V26" s="3"/>
      <c r="W26" s="4">
        <f t="shared" si="7"/>
        <v>0</v>
      </c>
      <c r="X26" s="3"/>
      <c r="Y26" s="3"/>
      <c r="Z26" s="4">
        <f t="shared" si="8"/>
        <v>0</v>
      </c>
      <c r="AA26" s="3"/>
      <c r="AB26" s="4"/>
      <c r="AC26" s="4">
        <f t="shared" si="9"/>
        <v>0</v>
      </c>
      <c r="AD26" s="3"/>
      <c r="AE26" s="3"/>
      <c r="AF26" s="4">
        <f t="shared" si="10"/>
        <v>0</v>
      </c>
      <c r="AG26" s="3"/>
      <c r="AH26" s="3"/>
      <c r="AI26" s="4">
        <f t="shared" si="3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29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1"/>
        <v>0</v>
      </c>
      <c r="F27" s="4"/>
      <c r="G27" s="4"/>
      <c r="H27" s="4">
        <f t="shared" si="2"/>
        <v>0</v>
      </c>
      <c r="I27" s="4"/>
      <c r="J27" s="4"/>
      <c r="K27" s="4">
        <f t="shared" si="3"/>
        <v>0</v>
      </c>
      <c r="L27" s="4"/>
      <c r="M27" s="4"/>
      <c r="N27" s="4">
        <f t="shared" si="4"/>
        <v>0</v>
      </c>
      <c r="O27" s="8"/>
      <c r="P27" s="3"/>
      <c r="Q27" s="4">
        <f t="shared" si="5"/>
        <v>0</v>
      </c>
      <c r="R27" s="3"/>
      <c r="S27" s="3"/>
      <c r="T27" s="4">
        <f t="shared" si="6"/>
        <v>0</v>
      </c>
      <c r="U27" s="3"/>
      <c r="V27" s="3"/>
      <c r="W27" s="4">
        <f t="shared" si="7"/>
        <v>0</v>
      </c>
      <c r="X27" s="3"/>
      <c r="Y27" s="3"/>
      <c r="Z27" s="4">
        <f t="shared" si="8"/>
        <v>0</v>
      </c>
      <c r="AA27" s="3"/>
      <c r="AB27" s="4"/>
      <c r="AC27" s="4">
        <f t="shared" si="9"/>
        <v>0</v>
      </c>
      <c r="AD27" s="3"/>
      <c r="AE27" s="3"/>
      <c r="AF27" s="4">
        <f t="shared" si="10"/>
        <v>0</v>
      </c>
      <c r="AG27" s="3"/>
      <c r="AH27" s="3"/>
      <c r="AI27" s="4">
        <f t="shared" si="3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29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1"/>
        <v>0</v>
      </c>
      <c r="F28" s="4"/>
      <c r="G28" s="4"/>
      <c r="H28" s="4">
        <f t="shared" si="2"/>
        <v>0</v>
      </c>
      <c r="I28" s="4"/>
      <c r="J28" s="4"/>
      <c r="K28" s="4">
        <f t="shared" si="3"/>
        <v>0</v>
      </c>
      <c r="L28" s="4"/>
      <c r="M28" s="4"/>
      <c r="N28" s="4">
        <f t="shared" si="4"/>
        <v>0</v>
      </c>
      <c r="O28" s="8"/>
      <c r="P28" s="3"/>
      <c r="Q28" s="4">
        <f t="shared" si="5"/>
        <v>0</v>
      </c>
      <c r="R28" s="3"/>
      <c r="S28" s="3"/>
      <c r="T28" s="4">
        <f t="shared" si="6"/>
        <v>0</v>
      </c>
      <c r="U28" s="3"/>
      <c r="V28" s="3"/>
      <c r="W28" s="4">
        <f t="shared" si="7"/>
        <v>0</v>
      </c>
      <c r="X28" s="3"/>
      <c r="Y28" s="3"/>
      <c r="Z28" s="4">
        <f t="shared" si="8"/>
        <v>0</v>
      </c>
      <c r="AA28" s="3"/>
      <c r="AB28" s="4"/>
      <c r="AC28" s="4">
        <f t="shared" si="9"/>
        <v>0</v>
      </c>
      <c r="AD28" s="3"/>
      <c r="AE28" s="3"/>
      <c r="AF28" s="4">
        <f t="shared" si="10"/>
        <v>0</v>
      </c>
      <c r="AG28" s="3"/>
      <c r="AH28" s="3"/>
      <c r="AI28" s="4">
        <f t="shared" si="3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29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1"/>
        <v>0</v>
      </c>
      <c r="F29" s="4"/>
      <c r="G29" s="4">
        <v>1516</v>
      </c>
      <c r="H29" s="4">
        <f t="shared" si="2"/>
        <v>1516</v>
      </c>
      <c r="I29" s="4"/>
      <c r="J29" s="4">
        <v>1516</v>
      </c>
      <c r="K29" s="4">
        <f t="shared" si="3"/>
        <v>1516</v>
      </c>
      <c r="L29" s="4"/>
      <c r="M29" s="4">
        <v>2616</v>
      </c>
      <c r="N29" s="4">
        <f t="shared" si="4"/>
        <v>2616</v>
      </c>
      <c r="O29" s="8"/>
      <c r="P29" s="3">
        <v>1516</v>
      </c>
      <c r="Q29" s="4">
        <f t="shared" si="5"/>
        <v>1516</v>
      </c>
      <c r="R29" s="3"/>
      <c r="S29" s="3">
        <v>1516</v>
      </c>
      <c r="T29" s="4">
        <f t="shared" si="6"/>
        <v>1516</v>
      </c>
      <c r="U29" s="3"/>
      <c r="V29" s="3">
        <v>2616</v>
      </c>
      <c r="W29" s="4">
        <f t="shared" si="7"/>
        <v>2616</v>
      </c>
      <c r="X29" s="3"/>
      <c r="Y29" s="3">
        <v>1516</v>
      </c>
      <c r="Z29" s="4">
        <f t="shared" si="8"/>
        <v>1516</v>
      </c>
      <c r="AA29" s="3"/>
      <c r="AB29" s="4">
        <v>1516</v>
      </c>
      <c r="AC29" s="4">
        <f t="shared" si="9"/>
        <v>1516</v>
      </c>
      <c r="AD29" s="3"/>
      <c r="AE29" s="3"/>
      <c r="AF29" s="4">
        <f t="shared" si="10"/>
        <v>0</v>
      </c>
      <c r="AG29" s="3"/>
      <c r="AH29" s="3"/>
      <c r="AI29" s="4">
        <f t="shared" si="3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29"/>
        <v>14328</v>
      </c>
      <c r="AO29" s="4">
        <f t="shared" si="14"/>
        <v>14328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31">SUM(D9:D28)</f>
        <v>343389.54</v>
      </c>
      <c r="E30" s="8">
        <f t="shared" si="31"/>
        <v>343389.54</v>
      </c>
      <c r="F30" s="8">
        <f t="shared" si="31"/>
        <v>0</v>
      </c>
      <c r="G30" s="8">
        <f>SUM(G9:G29)</f>
        <v>918337.66</v>
      </c>
      <c r="H30" s="8">
        <f>SUM(H9:H29)</f>
        <v>918337.66</v>
      </c>
      <c r="I30" s="8">
        <f t="shared" si="31"/>
        <v>0</v>
      </c>
      <c r="J30" s="8">
        <f>SUM(J9:J29)</f>
        <v>1259682.3599999999</v>
      </c>
      <c r="K30" s="8">
        <f>J30+I30</f>
        <v>1259682.3599999999</v>
      </c>
      <c r="L30" s="8">
        <f t="shared" si="31"/>
        <v>0</v>
      </c>
      <c r="M30" s="8">
        <f>SUM(M9:M29)</f>
        <v>757605.27</v>
      </c>
      <c r="N30" s="8">
        <f>M30+L30</f>
        <v>757605.27</v>
      </c>
      <c r="O30" s="8">
        <f t="shared" si="31"/>
        <v>0</v>
      </c>
      <c r="P30" s="8">
        <f>SUM(P9:P29)</f>
        <v>551151.34</v>
      </c>
      <c r="Q30" s="8">
        <f>P30+O30</f>
        <v>551151.34</v>
      </c>
      <c r="R30" s="8">
        <f t="shared" si="31"/>
        <v>0</v>
      </c>
      <c r="S30" s="8">
        <f t="shared" si="31"/>
        <v>360601.88</v>
      </c>
      <c r="T30" s="8">
        <f>S30+R30</f>
        <v>360601.88</v>
      </c>
      <c r="U30" s="8">
        <f t="shared" si="31"/>
        <v>0</v>
      </c>
      <c r="V30" s="8">
        <f t="shared" si="31"/>
        <v>286556.79999999999</v>
      </c>
      <c r="W30" s="8">
        <f>V30+U30</f>
        <v>286556.79999999999</v>
      </c>
      <c r="X30" s="8">
        <f t="shared" si="31"/>
        <v>0</v>
      </c>
      <c r="Y30" s="8">
        <f t="shared" si="31"/>
        <v>406146.2</v>
      </c>
      <c r="Z30" s="8">
        <f t="shared" si="8"/>
        <v>406146.2</v>
      </c>
      <c r="AA30" s="8">
        <f t="shared" si="31"/>
        <v>0</v>
      </c>
      <c r="AB30" s="8">
        <f t="shared" si="31"/>
        <v>350805.92</v>
      </c>
      <c r="AC30" s="8">
        <f>AB30+AA30</f>
        <v>350805.92</v>
      </c>
      <c r="AD30" s="8">
        <f t="shared" si="31"/>
        <v>0</v>
      </c>
      <c r="AE30" s="8">
        <f t="shared" si="31"/>
        <v>0</v>
      </c>
      <c r="AF30" s="8">
        <f>AE30+AD30</f>
        <v>0</v>
      </c>
      <c r="AG30" s="8">
        <f t="shared" si="31"/>
        <v>0</v>
      </c>
      <c r="AH30" s="8">
        <f>SUM(AH9:AH28)</f>
        <v>0</v>
      </c>
      <c r="AI30" s="8">
        <f t="shared" si="30"/>
        <v>0</v>
      </c>
      <c r="AJ30" s="8">
        <f t="shared" si="31"/>
        <v>0</v>
      </c>
      <c r="AK30" s="8">
        <f t="shared" si="31"/>
        <v>0</v>
      </c>
      <c r="AL30" s="8">
        <f>AK30+AJ30</f>
        <v>0</v>
      </c>
      <c r="AM30" s="8">
        <f t="shared" si="31"/>
        <v>0</v>
      </c>
      <c r="AN30" s="8">
        <f t="shared" si="31"/>
        <v>5227112.9700000007</v>
      </c>
      <c r="AO30" s="8">
        <f t="shared" si="31"/>
        <v>5227112.9700000007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P15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1.109375" customWidth="1"/>
    <col min="5" max="5" width="10.5546875" customWidth="1"/>
    <col min="6" max="6" width="11.6640625" customWidth="1"/>
    <col min="7" max="7" width="11.33203125" customWidth="1"/>
    <col min="8" max="8" width="10.5546875" customWidth="1"/>
    <col min="9" max="9" width="11.109375" customWidth="1"/>
    <col min="10" max="10" width="10.44140625" customWidth="1"/>
    <col min="11" max="11" width="11.5546875" customWidth="1"/>
    <col min="12" max="12" width="12.44140625" customWidth="1"/>
    <col min="13" max="13" width="10.6640625" customWidth="1"/>
    <col min="14" max="14" width="10.44140625" customWidth="1"/>
    <col min="15" max="15" width="13.5546875" customWidth="1"/>
    <col min="16" max="16" width="12.109375" customWidth="1"/>
    <col min="17" max="17" width="10.5546875" customWidth="1"/>
    <col min="18" max="18" width="11.44140625" customWidth="1"/>
    <col min="19" max="19" width="10.5546875" customWidth="1"/>
    <col min="20" max="20" width="12.33203125" customWidth="1"/>
    <col min="21" max="21" width="10" customWidth="1"/>
    <col min="22" max="22" width="10.44140625" customWidth="1"/>
    <col min="23" max="23" width="11.109375" customWidth="1"/>
    <col min="24" max="24" width="11.44140625" customWidth="1"/>
    <col min="25" max="25" width="11" customWidth="1"/>
    <col min="26" max="26" width="11.109375" customWidth="1"/>
    <col min="27" max="27" width="11.44140625" customWidth="1"/>
    <col min="28" max="28" width="12.109375" customWidth="1"/>
    <col min="29" max="29" width="10.6640625" customWidth="1"/>
    <col min="30" max="30" width="11.44140625" customWidth="1"/>
    <col min="31" max="31" width="11.6640625" customWidth="1"/>
    <col min="32" max="32" width="10.5546875" customWidth="1"/>
    <col min="33" max="33" width="11.33203125" customWidth="1"/>
    <col min="34" max="34" width="11" customWidth="1"/>
    <col min="35" max="35" width="10.6640625" customWidth="1"/>
    <col min="36" max="36" width="11.88671875" customWidth="1"/>
    <col min="37" max="37" width="11" customWidth="1"/>
    <col min="38" max="38" width="10.6640625" customWidth="1"/>
    <col min="39" max="39" width="12" customWidth="1"/>
    <col min="40" max="40" width="13.33203125" customWidth="1"/>
    <col min="41" max="41" width="12.441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63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201023.43</v>
      </c>
      <c r="E9" s="4">
        <f>D9+C9</f>
        <v>201023.43</v>
      </c>
      <c r="F9" s="4"/>
      <c r="G9" s="4">
        <v>179391.98</v>
      </c>
      <c r="H9" s="4">
        <f>G9+F9</f>
        <v>179391.98</v>
      </c>
      <c r="I9" s="4"/>
      <c r="J9" s="4">
        <v>221221.6</v>
      </c>
      <c r="K9" s="4">
        <f>J9+I9</f>
        <v>221221.6</v>
      </c>
      <c r="L9" s="4"/>
      <c r="M9" s="4">
        <v>222684.76</v>
      </c>
      <c r="N9" s="4">
        <f>M9+L9</f>
        <v>222684.76</v>
      </c>
      <c r="O9" s="4"/>
      <c r="P9" s="3">
        <v>235678.74</v>
      </c>
      <c r="Q9" s="4">
        <f>P9+O9</f>
        <v>235678.74</v>
      </c>
      <c r="R9" s="3"/>
      <c r="S9" s="3">
        <v>238867.07</v>
      </c>
      <c r="T9" s="4">
        <f>S9+R9</f>
        <v>238867.07</v>
      </c>
      <c r="U9" s="3"/>
      <c r="V9" s="3">
        <v>177198.97</v>
      </c>
      <c r="W9" s="4">
        <f>V9+U9</f>
        <v>177198.97</v>
      </c>
      <c r="X9" s="3"/>
      <c r="Y9" s="3">
        <v>190788.53</v>
      </c>
      <c r="Z9" s="4">
        <f>Y9+X9</f>
        <v>190788.53</v>
      </c>
      <c r="AA9" s="3"/>
      <c r="AB9" s="3">
        <v>251817.98</v>
      </c>
      <c r="AC9" s="4">
        <f>AB9+AA9</f>
        <v>251817.98</v>
      </c>
      <c r="AD9" s="3"/>
      <c r="AE9" s="3"/>
      <c r="AF9" s="4">
        <f>AD9+AE9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AJ9+AG9+AD9+AA9+X9+U9+R9+O9+L9+++I9+F9+C9</f>
        <v>0</v>
      </c>
      <c r="AN9" s="4">
        <f>AK9+AH9+AE9+AB9+Y9+V9+S9+P9+M9+++J9+G9+D9</f>
        <v>1918673.06</v>
      </c>
      <c r="AO9" s="4">
        <f>AL9+AI9+AF9+AC9+Z9+W9+T9+Q9+N9+++K9+H9+E9</f>
        <v>1918673.06</v>
      </c>
    </row>
    <row r="10" spans="1:41" ht="20.100000000000001" customHeight="1">
      <c r="A10" s="3">
        <v>2120</v>
      </c>
      <c r="B10" s="3" t="s">
        <v>1</v>
      </c>
      <c r="C10" s="4"/>
      <c r="D10" s="4">
        <v>44876.76</v>
      </c>
      <c r="E10" s="4">
        <f t="shared" ref="E10:E29" si="0">D10+C10</f>
        <v>44876.76</v>
      </c>
      <c r="F10" s="4"/>
      <c r="G10" s="4">
        <v>38548.639999999999</v>
      </c>
      <c r="H10" s="4">
        <f t="shared" ref="H10:H29" si="1">G10+F10</f>
        <v>38548.639999999999</v>
      </c>
      <c r="I10" s="4"/>
      <c r="J10" s="4">
        <v>52169.58</v>
      </c>
      <c r="K10" s="4">
        <f t="shared" ref="K10:K29" si="2">J10+I10</f>
        <v>52169.58</v>
      </c>
      <c r="L10" s="4"/>
      <c r="M10" s="4">
        <v>46581.8</v>
      </c>
      <c r="N10" s="4">
        <f t="shared" ref="N10:N29" si="3">M10+L10</f>
        <v>46581.8</v>
      </c>
      <c r="O10" s="4"/>
      <c r="P10" s="3">
        <v>50587.199999999997</v>
      </c>
      <c r="Q10" s="4">
        <f t="shared" ref="Q10:Q29" si="4">P10+O10</f>
        <v>50587.199999999997</v>
      </c>
      <c r="R10" s="3"/>
      <c r="S10" s="3">
        <v>50997.87</v>
      </c>
      <c r="T10" s="4">
        <f t="shared" ref="T10:T29" si="5">S10+R10</f>
        <v>50997.87</v>
      </c>
      <c r="U10" s="3"/>
      <c r="V10" s="3">
        <v>39001.339999999997</v>
      </c>
      <c r="W10" s="4">
        <f t="shared" ref="W10:W29" si="6">V10+U10</f>
        <v>39001.339999999997</v>
      </c>
      <c r="X10" s="3"/>
      <c r="Y10" s="3">
        <v>40690.660000000003</v>
      </c>
      <c r="Z10" s="4">
        <f t="shared" ref="Z10:Z30" si="7">Y10+X10</f>
        <v>40690.660000000003</v>
      </c>
      <c r="AA10" s="3"/>
      <c r="AB10" s="3">
        <v>54432.43</v>
      </c>
      <c r="AC10" s="4">
        <f t="shared" ref="AC10:AC29" si="8">AB10+AA10</f>
        <v>54432.43</v>
      </c>
      <c r="AD10" s="3"/>
      <c r="AE10" s="3"/>
      <c r="AF10" s="4">
        <f>AD10+AE10</f>
        <v>0</v>
      </c>
      <c r="AG10" s="3"/>
      <c r="AH10" s="3"/>
      <c r="AI10" s="4">
        <f t="shared" ref="AI10:AI29" si="9">AH10+AG10</f>
        <v>0</v>
      </c>
      <c r="AJ10" s="3"/>
      <c r="AK10" s="3"/>
      <c r="AL10" s="4">
        <f t="shared" ref="AL10:AL29" si="10">AK10+AJ10</f>
        <v>0</v>
      </c>
      <c r="AM10" s="4">
        <f t="shared" ref="AM10:AM29" si="11">AJ10+AG10+AD10+AA10+X10+U10+R10+O10+L10+++I10+F10+C10</f>
        <v>0</v>
      </c>
      <c r="AN10" s="4">
        <f>AK10+AH10+AE10+AB10+Y10+V10+S10+P10+M10+++J10+G10+D10</f>
        <v>417886.28</v>
      </c>
      <c r="AO10" s="4">
        <f>AL10+AI10+AF10+AC10+Z10+W10+T10+Q10+N10+++K10+H10+E10</f>
        <v>417886.28</v>
      </c>
    </row>
    <row r="11" spans="1:41" ht="20.100000000000001" customHeight="1">
      <c r="A11" s="3">
        <v>2210</v>
      </c>
      <c r="B11" s="3" t="s">
        <v>2</v>
      </c>
      <c r="C11" s="4"/>
      <c r="D11" s="4">
        <v>1114.0999999999999</v>
      </c>
      <c r="E11" s="4">
        <f t="shared" si="0"/>
        <v>1114.0999999999999</v>
      </c>
      <c r="F11" s="4"/>
      <c r="G11" s="4">
        <v>738.28</v>
      </c>
      <c r="H11" s="4">
        <f t="shared" si="1"/>
        <v>738.28</v>
      </c>
      <c r="I11" s="4"/>
      <c r="J11" s="4">
        <v>665.88</v>
      </c>
      <c r="K11" s="4">
        <f t="shared" si="2"/>
        <v>665.88</v>
      </c>
      <c r="L11" s="4"/>
      <c r="M11" s="4">
        <v>2158.9299999999998</v>
      </c>
      <c r="N11" s="4">
        <f t="shared" si="3"/>
        <v>2158.9299999999998</v>
      </c>
      <c r="O11" s="8"/>
      <c r="P11" s="3">
        <v>1770.34</v>
      </c>
      <c r="Q11" s="4">
        <f t="shared" si="4"/>
        <v>1770.34</v>
      </c>
      <c r="R11" s="3"/>
      <c r="S11" s="3">
        <v>5956.12</v>
      </c>
      <c r="T11" s="4">
        <f t="shared" si="5"/>
        <v>5956.12</v>
      </c>
      <c r="U11" s="3"/>
      <c r="V11" s="3"/>
      <c r="W11" s="4">
        <f t="shared" si="6"/>
        <v>0</v>
      </c>
      <c r="X11" s="3"/>
      <c r="Y11" s="3">
        <v>451.92</v>
      </c>
      <c r="Z11" s="4">
        <f t="shared" si="7"/>
        <v>451.92</v>
      </c>
      <c r="AA11" s="3"/>
      <c r="AB11" s="3">
        <v>2059.5700000000002</v>
      </c>
      <c r="AC11" s="4">
        <f t="shared" si="8"/>
        <v>2059.5700000000002</v>
      </c>
      <c r="AD11" s="3"/>
      <c r="AE11" s="3"/>
      <c r="AF11" s="4">
        <f t="shared" ref="AF11:AF29" si="12">AD11+AE11</f>
        <v>0</v>
      </c>
      <c r="AG11" s="3"/>
      <c r="AH11" s="4"/>
      <c r="AI11" s="4">
        <f t="shared" si="9"/>
        <v>0</v>
      </c>
      <c r="AJ11" s="3"/>
      <c r="AK11" s="3"/>
      <c r="AL11" s="4">
        <f t="shared" si="10"/>
        <v>0</v>
      </c>
      <c r="AM11" s="4">
        <f t="shared" si="11"/>
        <v>0</v>
      </c>
      <c r="AN11" s="4">
        <f>AK11+AH11+AE11+AB11+Y11+V11+S11+P11+M11+J11+G11+D11</f>
        <v>14915.140000000001</v>
      </c>
      <c r="AO11" s="4">
        <f t="shared" ref="AO11:AO29" si="13">AL11+AI11+AF11+AC11+Z11+W11+T11+Q11+N11+++K11+H11+E11</f>
        <v>14915.140000000001</v>
      </c>
    </row>
    <row r="12" spans="1:41" ht="20.100000000000001" customHeight="1">
      <c r="A12" s="3">
        <v>2220</v>
      </c>
      <c r="B12" s="3" t="s">
        <v>3</v>
      </c>
      <c r="C12" s="4"/>
      <c r="D12" s="4">
        <v>50</v>
      </c>
      <c r="E12" s="4">
        <f t="shared" si="0"/>
        <v>50</v>
      </c>
      <c r="F12" s="4"/>
      <c r="G12" s="4"/>
      <c r="H12" s="4">
        <f t="shared" si="1"/>
        <v>0</v>
      </c>
      <c r="I12" s="4"/>
      <c r="J12" s="4">
        <v>630</v>
      </c>
      <c r="K12" s="4">
        <f t="shared" si="2"/>
        <v>630</v>
      </c>
      <c r="L12" s="4"/>
      <c r="M12" s="4">
        <v>47.4</v>
      </c>
      <c r="N12" s="4">
        <f t="shared" si="3"/>
        <v>47.4</v>
      </c>
      <c r="O12" s="8"/>
      <c r="P12" s="3">
        <v>1468.59</v>
      </c>
      <c r="Q12" s="4">
        <f t="shared" si="4"/>
        <v>1468.59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>
        <v>2179.87</v>
      </c>
      <c r="AC12" s="4">
        <f t="shared" si="8"/>
        <v>2179.87</v>
      </c>
      <c r="AD12" s="3"/>
      <c r="AE12" s="3"/>
      <c r="AF12" s="4">
        <f t="shared" si="12"/>
        <v>0</v>
      </c>
      <c r="AG12" s="3"/>
      <c r="AH12" s="4"/>
      <c r="AI12" s="4">
        <f t="shared" si="9"/>
        <v>0</v>
      </c>
      <c r="AJ12" s="3"/>
      <c r="AK12" s="4"/>
      <c r="AL12" s="4">
        <f t="shared" si="10"/>
        <v>0</v>
      </c>
      <c r="AM12" s="4">
        <f t="shared" si="11"/>
        <v>0</v>
      </c>
      <c r="AN12" s="4">
        <f>AK12+AH12+AE12+AB12+Y12+V12+S12+P12+M12+J12+G12+D12</f>
        <v>4375.8600000000006</v>
      </c>
      <c r="AO12" s="4">
        <f t="shared" si="13"/>
        <v>4375.8600000000006</v>
      </c>
    </row>
    <row r="13" spans="1:41" ht="20.100000000000001" customHeight="1">
      <c r="A13" s="3">
        <v>2230</v>
      </c>
      <c r="B13" s="3" t="s">
        <v>4</v>
      </c>
      <c r="C13" s="4"/>
      <c r="D13" s="4">
        <v>15447.46</v>
      </c>
      <c r="E13" s="4">
        <f t="shared" si="0"/>
        <v>15447.46</v>
      </c>
      <c r="F13" s="4"/>
      <c r="G13" s="4">
        <v>8150.86</v>
      </c>
      <c r="H13" s="4">
        <f t="shared" si="1"/>
        <v>8150.86</v>
      </c>
      <c r="I13" s="4"/>
      <c r="J13" s="4">
        <v>24046.9</v>
      </c>
      <c r="K13" s="4">
        <f t="shared" si="2"/>
        <v>24046.9</v>
      </c>
      <c r="L13" s="4"/>
      <c r="M13" s="4">
        <v>47846.19</v>
      </c>
      <c r="N13" s="4">
        <f t="shared" si="3"/>
        <v>47846.19</v>
      </c>
      <c r="O13" s="4"/>
      <c r="P13" s="4">
        <v>51942.75</v>
      </c>
      <c r="Q13" s="4">
        <f t="shared" si="4"/>
        <v>51942.75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>
        <v>47101.37</v>
      </c>
      <c r="AC13" s="4">
        <f t="shared" si="8"/>
        <v>47101.37</v>
      </c>
      <c r="AD13" s="3"/>
      <c r="AE13" s="4"/>
      <c r="AF13" s="4">
        <f t="shared" si="12"/>
        <v>0</v>
      </c>
      <c r="AG13" s="3"/>
      <c r="AH13" s="4"/>
      <c r="AI13" s="4">
        <f t="shared" si="9"/>
        <v>0</v>
      </c>
      <c r="AJ13" s="3"/>
      <c r="AK13" s="3"/>
      <c r="AL13" s="4">
        <f t="shared" si="10"/>
        <v>0</v>
      </c>
      <c r="AM13" s="4">
        <f t="shared" si="11"/>
        <v>0</v>
      </c>
      <c r="AN13" s="4">
        <f t="shared" ref="AN13:AN29" si="14">AK13+AH13+AE13+AB13+Y13+V13+S13+P13+M13+++J13+G13+D13</f>
        <v>194535.52999999997</v>
      </c>
      <c r="AO13" s="4">
        <f t="shared" si="13"/>
        <v>194535.52999999997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150+79398.59</f>
        <v>79548.59</v>
      </c>
      <c r="H14" s="4">
        <f t="shared" si="1"/>
        <v>79548.59</v>
      </c>
      <c r="I14" s="4"/>
      <c r="J14" s="4">
        <f>17488.36+150</f>
        <v>17638.36</v>
      </c>
      <c r="K14" s="4">
        <f t="shared" si="2"/>
        <v>17638.36</v>
      </c>
      <c r="L14" s="4"/>
      <c r="M14" s="4">
        <f>150+31186.4</f>
        <v>31336.400000000001</v>
      </c>
      <c r="N14" s="4">
        <f t="shared" si="3"/>
        <v>31336.400000000001</v>
      </c>
      <c r="O14" s="4"/>
      <c r="P14" s="3">
        <f>18065.06+150</f>
        <v>18215.060000000001</v>
      </c>
      <c r="Q14" s="4">
        <f t="shared" si="4"/>
        <v>18215.060000000001</v>
      </c>
      <c r="R14" s="3"/>
      <c r="S14" s="3">
        <f>25226.75+150</f>
        <v>25376.75</v>
      </c>
      <c r="T14" s="4">
        <f t="shared" si="5"/>
        <v>25376.75</v>
      </c>
      <c r="U14" s="3"/>
      <c r="V14" s="4">
        <f>22593.01+150</f>
        <v>22743.01</v>
      </c>
      <c r="W14" s="4">
        <f t="shared" si="6"/>
        <v>22743.01</v>
      </c>
      <c r="X14" s="3"/>
      <c r="Y14" s="4">
        <f>150+378517.67</f>
        <v>378667.67</v>
      </c>
      <c r="Z14" s="4">
        <f t="shared" si="7"/>
        <v>378667.67</v>
      </c>
      <c r="AA14" s="3"/>
      <c r="AB14" s="3">
        <f>16534.36+150</f>
        <v>16684.36</v>
      </c>
      <c r="AC14" s="4">
        <f t="shared" si="8"/>
        <v>16684.36</v>
      </c>
      <c r="AD14" s="3"/>
      <c r="AE14" s="3"/>
      <c r="AF14" s="4">
        <f t="shared" si="12"/>
        <v>0</v>
      </c>
      <c r="AG14" s="3"/>
      <c r="AH14" s="3"/>
      <c r="AI14" s="4">
        <f t="shared" si="9"/>
        <v>0</v>
      </c>
      <c r="AJ14" s="3"/>
      <c r="AK14" s="3"/>
      <c r="AL14" s="4">
        <f t="shared" si="10"/>
        <v>0</v>
      </c>
      <c r="AM14" s="4">
        <f t="shared" si="11"/>
        <v>0</v>
      </c>
      <c r="AN14" s="4">
        <f t="shared" si="14"/>
        <v>590210.19999999995</v>
      </c>
      <c r="AO14" s="4">
        <f t="shared" si="13"/>
        <v>590210.19999999995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4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16"/>
      <c r="AC15" s="4">
        <f t="shared" si="8"/>
        <v>0</v>
      </c>
      <c r="AD15" s="3"/>
      <c r="AE15" s="3"/>
      <c r="AF15" s="4">
        <f t="shared" si="12"/>
        <v>0</v>
      </c>
      <c r="AG15" s="3"/>
      <c r="AH15" s="3"/>
      <c r="AI15" s="4">
        <f t="shared" si="9"/>
        <v>0</v>
      </c>
      <c r="AJ15" s="3"/>
      <c r="AK15" s="4"/>
      <c r="AL15" s="4">
        <f t="shared" si="10"/>
        <v>0</v>
      </c>
      <c r="AM15" s="4">
        <f t="shared" si="11"/>
        <v>0</v>
      </c>
      <c r="AN15" s="4">
        <f t="shared" si="14"/>
        <v>0</v>
      </c>
      <c r="AO15" s="4">
        <f t="shared" si="13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4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12"/>
        <v>0</v>
      </c>
      <c r="AG16" s="3"/>
      <c r="AH16" s="3"/>
      <c r="AI16" s="4">
        <f t="shared" si="9"/>
        <v>0</v>
      </c>
      <c r="AJ16" s="3"/>
      <c r="AK16" s="3"/>
      <c r="AL16" s="4">
        <f t="shared" si="10"/>
        <v>0</v>
      </c>
      <c r="AM16" s="4">
        <f t="shared" si="11"/>
        <v>0</v>
      </c>
      <c r="AN16" s="4">
        <f t="shared" si="14"/>
        <v>0</v>
      </c>
      <c r="AO16" s="4">
        <f t="shared" si="13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f>226576.53+238034.81</f>
        <v>464611.33999999997</v>
      </c>
      <c r="H17" s="4">
        <f t="shared" si="1"/>
        <v>464611.33999999997</v>
      </c>
      <c r="I17" s="4"/>
      <c r="J17" s="4">
        <f>184737.15+134135.98</f>
        <v>318873.13</v>
      </c>
      <c r="K17" s="4">
        <f t="shared" si="2"/>
        <v>318873.13</v>
      </c>
      <c r="L17" s="4"/>
      <c r="M17" s="4">
        <f>55520.24+52978.21</f>
        <v>108498.45</v>
      </c>
      <c r="N17" s="4">
        <f t="shared" si="3"/>
        <v>108498.45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12"/>
        <v>0</v>
      </c>
      <c r="AG17" s="3"/>
      <c r="AH17" s="3"/>
      <c r="AI17" s="4">
        <f t="shared" si="9"/>
        <v>0</v>
      </c>
      <c r="AJ17" s="3"/>
      <c r="AK17" s="3"/>
      <c r="AL17" s="4">
        <f t="shared" si="10"/>
        <v>0</v>
      </c>
      <c r="AM17" s="4">
        <f t="shared" si="11"/>
        <v>0</v>
      </c>
      <c r="AN17" s="4">
        <f t="shared" si="14"/>
        <v>891982.91999999993</v>
      </c>
      <c r="AO17" s="4">
        <f t="shared" si="13"/>
        <v>891982.91999999993</v>
      </c>
    </row>
    <row r="18" spans="1:41" ht="20.100000000000001" customHeight="1">
      <c r="A18" s="3">
        <v>2272</v>
      </c>
      <c r="B18" s="3" t="s">
        <v>9</v>
      </c>
      <c r="C18" s="4"/>
      <c r="D18" s="4">
        <f>3528+987.84</f>
        <v>4515.84</v>
      </c>
      <c r="E18" s="4">
        <f t="shared" si="0"/>
        <v>4515.84</v>
      </c>
      <c r="F18" s="4"/>
      <c r="G18" s="4">
        <f>3457.44+846.72</f>
        <v>4304.16</v>
      </c>
      <c r="H18" s="4">
        <f t="shared" si="1"/>
        <v>4304.16</v>
      </c>
      <c r="I18" s="4"/>
      <c r="J18" s="4">
        <f>4515.84+776.16</f>
        <v>5292</v>
      </c>
      <c r="K18" s="4">
        <f t="shared" si="2"/>
        <v>5292</v>
      </c>
      <c r="L18" s="4"/>
      <c r="M18" s="4">
        <f>3951.36+1058.4</f>
        <v>5009.76</v>
      </c>
      <c r="N18" s="4">
        <f t="shared" si="3"/>
        <v>5009.76</v>
      </c>
      <c r="O18" s="4"/>
      <c r="P18" s="3">
        <f>4092.48+1975.68</f>
        <v>6068.16</v>
      </c>
      <c r="Q18" s="4">
        <f t="shared" si="4"/>
        <v>6068.16</v>
      </c>
      <c r="R18" s="3"/>
      <c r="S18" s="3">
        <f>3638.71+1388.09</f>
        <v>5026.8</v>
      </c>
      <c r="T18" s="4">
        <f t="shared" si="5"/>
        <v>5026.8</v>
      </c>
      <c r="U18" s="3"/>
      <c r="V18" s="3">
        <f>1333.96+1020.08</f>
        <v>2354.04</v>
      </c>
      <c r="W18" s="4">
        <f t="shared" si="6"/>
        <v>2354.04</v>
      </c>
      <c r="X18" s="3"/>
      <c r="Y18" s="3">
        <f>784.68+941.62</f>
        <v>1726.3</v>
      </c>
      <c r="Z18" s="4">
        <f t="shared" si="7"/>
        <v>1726.3</v>
      </c>
      <c r="AA18" s="3"/>
      <c r="AB18" s="3">
        <f>2354.04+627.74</f>
        <v>2981.7799999999997</v>
      </c>
      <c r="AC18" s="4">
        <f t="shared" si="8"/>
        <v>2981.7799999999997</v>
      </c>
      <c r="AD18" s="3"/>
      <c r="AE18" s="3"/>
      <c r="AF18" s="4">
        <f t="shared" si="12"/>
        <v>0</v>
      </c>
      <c r="AG18" s="3"/>
      <c r="AH18" s="3"/>
      <c r="AI18" s="4">
        <f t="shared" si="9"/>
        <v>0</v>
      </c>
      <c r="AJ18" s="3"/>
      <c r="AK18" s="3"/>
      <c r="AL18" s="4">
        <f t="shared" si="10"/>
        <v>0</v>
      </c>
      <c r="AM18" s="4">
        <f t="shared" si="11"/>
        <v>0</v>
      </c>
      <c r="AN18" s="4">
        <f t="shared" si="14"/>
        <v>37278.840000000004</v>
      </c>
      <c r="AO18" s="4">
        <f t="shared" si="13"/>
        <v>37278.840000000004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f>45868.89+5586.87</f>
        <v>51455.76</v>
      </c>
      <c r="H19" s="4">
        <f t="shared" si="1"/>
        <v>51455.76</v>
      </c>
      <c r="I19" s="4"/>
      <c r="J19" s="4">
        <f>33938.2+3194.72</f>
        <v>37132.92</v>
      </c>
      <c r="K19" s="4">
        <f t="shared" si="2"/>
        <v>37132.92</v>
      </c>
      <c r="L19" s="4"/>
      <c r="M19" s="4">
        <f>43607.72+5453.35</f>
        <v>49061.07</v>
      </c>
      <c r="N19" s="4">
        <f t="shared" si="3"/>
        <v>49061.07</v>
      </c>
      <c r="O19" s="4"/>
      <c r="P19" s="3">
        <f>38297.45+7066.62</f>
        <v>45364.07</v>
      </c>
      <c r="Q19" s="4">
        <f t="shared" si="4"/>
        <v>45364.07</v>
      </c>
      <c r="R19" s="3"/>
      <c r="S19" s="3">
        <f>26937.43+3566.43</f>
        <v>30503.86</v>
      </c>
      <c r="T19" s="4">
        <f t="shared" si="5"/>
        <v>30503.86</v>
      </c>
      <c r="U19" s="3"/>
      <c r="V19" s="3">
        <f>6563.5+1256.38</f>
        <v>7819.88</v>
      </c>
      <c r="W19" s="4">
        <f t="shared" si="6"/>
        <v>7819.88</v>
      </c>
      <c r="X19" s="3"/>
      <c r="Y19" s="3">
        <f>3831.47+669.58</f>
        <v>4501.05</v>
      </c>
      <c r="Z19" s="4">
        <f t="shared" si="7"/>
        <v>4501.05</v>
      </c>
      <c r="AA19" s="3"/>
      <c r="AB19" s="3">
        <f>5721.29+1392.61</f>
        <v>7113.9</v>
      </c>
      <c r="AC19" s="4">
        <f t="shared" si="8"/>
        <v>7113.9</v>
      </c>
      <c r="AD19" s="3"/>
      <c r="AE19" s="3"/>
      <c r="AF19" s="4">
        <f t="shared" si="12"/>
        <v>0</v>
      </c>
      <c r="AG19" s="3"/>
      <c r="AH19" s="3"/>
      <c r="AI19" s="4">
        <f t="shared" si="9"/>
        <v>0</v>
      </c>
      <c r="AJ19" s="3"/>
      <c r="AK19" s="3"/>
      <c r="AL19" s="4">
        <f t="shared" si="10"/>
        <v>0</v>
      </c>
      <c r="AM19" s="4">
        <f t="shared" si="11"/>
        <v>0</v>
      </c>
      <c r="AN19" s="4">
        <f t="shared" si="14"/>
        <v>232952.51</v>
      </c>
      <c r="AO19" s="4">
        <f t="shared" si="13"/>
        <v>232952.51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12"/>
        <v>0</v>
      </c>
      <c r="AG20" s="3"/>
      <c r="AH20" s="3"/>
      <c r="AI20" s="4">
        <f t="shared" si="9"/>
        <v>0</v>
      </c>
      <c r="AJ20" s="3"/>
      <c r="AK20" s="3"/>
      <c r="AL20" s="4">
        <f t="shared" si="10"/>
        <v>0</v>
      </c>
      <c r="AM20" s="4">
        <f t="shared" si="11"/>
        <v>0</v>
      </c>
      <c r="AN20" s="4">
        <f t="shared" si="14"/>
        <v>0</v>
      </c>
      <c r="AO20" s="4">
        <f t="shared" si="13"/>
        <v>0</v>
      </c>
    </row>
    <row r="21" spans="1:41" ht="20.100000000000001" customHeight="1">
      <c r="A21" s="3">
        <v>2275</v>
      </c>
      <c r="B21" s="3" t="s">
        <v>12</v>
      </c>
      <c r="C21" s="4"/>
      <c r="D21" s="4"/>
      <c r="E21" s="4">
        <f t="shared" si="0"/>
        <v>0</v>
      </c>
      <c r="F21" s="4"/>
      <c r="G21" s="4">
        <v>2756.73</v>
      </c>
      <c r="H21" s="4">
        <f t="shared" si="1"/>
        <v>2756.73</v>
      </c>
      <c r="I21" s="4"/>
      <c r="J21" s="4">
        <v>2096.16</v>
      </c>
      <c r="K21" s="4">
        <f t="shared" si="2"/>
        <v>2096.16</v>
      </c>
      <c r="L21" s="4"/>
      <c r="M21" s="4">
        <v>2358.1799999999998</v>
      </c>
      <c r="N21" s="4">
        <f t="shared" si="3"/>
        <v>2358.1799999999998</v>
      </c>
      <c r="O21" s="4"/>
      <c r="P21" s="3">
        <v>9146.5300000000007</v>
      </c>
      <c r="Q21" s="4">
        <f t="shared" si="4"/>
        <v>9146.5300000000007</v>
      </c>
      <c r="R21" s="3"/>
      <c r="S21" s="3">
        <v>2358.1799999999998</v>
      </c>
      <c r="T21" s="4">
        <f t="shared" si="5"/>
        <v>2358.1799999999998</v>
      </c>
      <c r="U21" s="3"/>
      <c r="V21" s="3">
        <v>2358.1799999999998</v>
      </c>
      <c r="W21" s="4">
        <f t="shared" si="6"/>
        <v>2358.1799999999998</v>
      </c>
      <c r="X21" s="3"/>
      <c r="Y21" s="3">
        <v>12536.29</v>
      </c>
      <c r="Z21" s="4">
        <f t="shared" si="7"/>
        <v>12536.29</v>
      </c>
      <c r="AA21" s="3"/>
      <c r="AB21" s="3">
        <v>3466.48</v>
      </c>
      <c r="AC21" s="4">
        <f t="shared" si="8"/>
        <v>3466.48</v>
      </c>
      <c r="AD21" s="3"/>
      <c r="AE21" s="3"/>
      <c r="AF21" s="4">
        <f t="shared" si="12"/>
        <v>0</v>
      </c>
      <c r="AG21" s="3"/>
      <c r="AH21" s="3"/>
      <c r="AI21" s="4">
        <f t="shared" si="9"/>
        <v>0</v>
      </c>
      <c r="AJ21" s="3"/>
      <c r="AK21" s="3"/>
      <c r="AL21" s="4">
        <f t="shared" si="10"/>
        <v>0</v>
      </c>
      <c r="AM21" s="4">
        <f t="shared" si="11"/>
        <v>0</v>
      </c>
      <c r="AN21" s="4">
        <f t="shared" si="14"/>
        <v>37076.730000000003</v>
      </c>
      <c r="AO21" s="4">
        <f t="shared" si="13"/>
        <v>37076.730000000003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320</v>
      </c>
      <c r="Z22" s="4">
        <f t="shared" si="7"/>
        <v>320</v>
      </c>
      <c r="AA22" s="3"/>
      <c r="AB22" s="4"/>
      <c r="AC22" s="4">
        <f t="shared" si="8"/>
        <v>0</v>
      </c>
      <c r="AD22" s="3"/>
      <c r="AE22" s="3"/>
      <c r="AF22" s="4">
        <f t="shared" si="12"/>
        <v>0</v>
      </c>
      <c r="AG22" s="3"/>
      <c r="AH22" s="3"/>
      <c r="AI22" s="4">
        <f t="shared" si="9"/>
        <v>0</v>
      </c>
      <c r="AJ22" s="3"/>
      <c r="AK22" s="3"/>
      <c r="AL22" s="4">
        <f t="shared" si="10"/>
        <v>0</v>
      </c>
      <c r="AM22" s="4">
        <f t="shared" si="11"/>
        <v>0</v>
      </c>
      <c r="AN22" s="4">
        <f t="shared" si="14"/>
        <v>920</v>
      </c>
      <c r="AO22" s="4">
        <f t="shared" si="13"/>
        <v>920</v>
      </c>
    </row>
    <row r="23" spans="1:41" ht="25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30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1"/>
        <v>0</v>
      </c>
      <c r="I24" s="4">
        <f t="shared" ref="I24" si="17">H24+G24</f>
        <v>0</v>
      </c>
      <c r="J24" s="4"/>
      <c r="K24" s="4">
        <f t="shared" si="2"/>
        <v>0</v>
      </c>
      <c r="L24" s="4"/>
      <c r="M24" s="4"/>
      <c r="N24" s="4">
        <f t="shared" si="3"/>
        <v>0</v>
      </c>
      <c r="O24" s="4">
        <f t="shared" ref="O24" si="18">N24+M24</f>
        <v>0</v>
      </c>
      <c r="P24" s="4">
        <f t="shared" ref="P24" si="19">O24+N24</f>
        <v>0</v>
      </c>
      <c r="Q24" s="4">
        <f t="shared" si="4"/>
        <v>0</v>
      </c>
      <c r="R24" s="4">
        <f t="shared" ref="R24" si="20">Q24+P24</f>
        <v>0</v>
      </c>
      <c r="S24" s="4">
        <f t="shared" ref="S24" si="21">R24+Q24</f>
        <v>0</v>
      </c>
      <c r="T24" s="4">
        <f t="shared" si="5"/>
        <v>0</v>
      </c>
      <c r="U24" s="4">
        <f t="shared" ref="U24" si="22">T24+S24</f>
        <v>0</v>
      </c>
      <c r="V24" s="4">
        <f t="shared" ref="V24" si="23">U24+T24</f>
        <v>0</v>
      </c>
      <c r="W24" s="4">
        <f t="shared" si="6"/>
        <v>0</v>
      </c>
      <c r="X24" s="4">
        <f t="shared" ref="X24" si="24">W24+V24</f>
        <v>0</v>
      </c>
      <c r="Y24" s="4">
        <f t="shared" ref="Y24" si="25">X24+W24</f>
        <v>0</v>
      </c>
      <c r="Z24" s="4">
        <f t="shared" si="7"/>
        <v>0</v>
      </c>
      <c r="AA24" s="4">
        <f t="shared" ref="AA24" si="26">Z24+Y24</f>
        <v>0</v>
      </c>
      <c r="AB24" s="4">
        <f t="shared" ref="AB24" si="27">AA24+Z24</f>
        <v>0</v>
      </c>
      <c r="AC24" s="4">
        <f t="shared" si="8"/>
        <v>0</v>
      </c>
      <c r="AD24" s="4">
        <f t="shared" ref="AD24" si="28">AC24+AB24</f>
        <v>0</v>
      </c>
      <c r="AE24" s="4">
        <f t="shared" ref="AE24" si="29">AD24+AC24</f>
        <v>0</v>
      </c>
      <c r="AF24" s="4">
        <f t="shared" ref="AF24" si="30">AE24+AD24</f>
        <v>0</v>
      </c>
      <c r="AG24" s="4">
        <f t="shared" ref="AG24" si="31">AF24+AE24</f>
        <v>0</v>
      </c>
      <c r="AH24" s="4">
        <f t="shared" ref="AH24" si="32">AG24+AF24</f>
        <v>0</v>
      </c>
      <c r="AI24" s="4">
        <f t="shared" si="9"/>
        <v>0</v>
      </c>
      <c r="AJ24" s="4">
        <f t="shared" ref="AJ24" si="33">AI24+AH24</f>
        <v>0</v>
      </c>
      <c r="AK24" s="4">
        <f t="shared" ref="AK24" si="34">AJ24+AI24</f>
        <v>0</v>
      </c>
      <c r="AL24" s="4">
        <f t="shared" si="10"/>
        <v>0</v>
      </c>
      <c r="AM24" s="4">
        <f t="shared" ref="AM24" si="35">AL24+AK24</f>
        <v>0</v>
      </c>
      <c r="AN24" s="4">
        <f t="shared" si="14"/>
        <v>0</v>
      </c>
      <c r="AO24" s="4">
        <f t="shared" si="13"/>
        <v>0</v>
      </c>
    </row>
    <row r="25" spans="1:41" ht="27.7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12"/>
        <v>0</v>
      </c>
      <c r="AG25" s="3"/>
      <c r="AH25" s="3"/>
      <c r="AI25" s="4">
        <f t="shared" si="9"/>
        <v>0</v>
      </c>
      <c r="AJ25" s="3"/>
      <c r="AK25" s="3"/>
      <c r="AL25" s="4">
        <f t="shared" si="10"/>
        <v>0</v>
      </c>
      <c r="AM25" s="4">
        <f t="shared" si="11"/>
        <v>0</v>
      </c>
      <c r="AN25" s="4">
        <f t="shared" si="14"/>
        <v>0</v>
      </c>
      <c r="AO25" s="4">
        <f t="shared" si="13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12"/>
        <v>0</v>
      </c>
      <c r="AG26" s="3"/>
      <c r="AH26" s="3"/>
      <c r="AI26" s="4">
        <f t="shared" si="9"/>
        <v>0</v>
      </c>
      <c r="AJ26" s="3"/>
      <c r="AK26" s="3"/>
      <c r="AL26" s="4">
        <f t="shared" si="10"/>
        <v>0</v>
      </c>
      <c r="AM26" s="4">
        <f t="shared" si="11"/>
        <v>0</v>
      </c>
      <c r="AN26" s="4">
        <f t="shared" si="14"/>
        <v>0</v>
      </c>
      <c r="AO26" s="4">
        <f t="shared" si="13"/>
        <v>0</v>
      </c>
    </row>
    <row r="27" spans="1:41" ht="24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12"/>
        <v>0</v>
      </c>
      <c r="AG27" s="3"/>
      <c r="AH27" s="3"/>
      <c r="AI27" s="4">
        <f t="shared" si="9"/>
        <v>0</v>
      </c>
      <c r="AJ27" s="3"/>
      <c r="AK27" s="3"/>
      <c r="AL27" s="4">
        <f t="shared" si="10"/>
        <v>0</v>
      </c>
      <c r="AM27" s="4">
        <f t="shared" si="11"/>
        <v>0</v>
      </c>
      <c r="AN27" s="4">
        <f t="shared" si="14"/>
        <v>0</v>
      </c>
      <c r="AO27" s="4">
        <f t="shared" si="13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12"/>
        <v>0</v>
      </c>
      <c r="AG28" s="3"/>
      <c r="AH28" s="3"/>
      <c r="AI28" s="4">
        <f t="shared" si="9"/>
        <v>0</v>
      </c>
      <c r="AJ28" s="3"/>
      <c r="AK28" s="3"/>
      <c r="AL28" s="4">
        <f t="shared" si="10"/>
        <v>0</v>
      </c>
      <c r="AM28" s="4">
        <f t="shared" si="11"/>
        <v>0</v>
      </c>
      <c r="AN28" s="4">
        <f t="shared" si="14"/>
        <v>0</v>
      </c>
      <c r="AO28" s="4">
        <f t="shared" si="13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f>1516+456</f>
        <v>1972</v>
      </c>
      <c r="H29" s="4">
        <f t="shared" si="1"/>
        <v>1972</v>
      </c>
      <c r="I29" s="4"/>
      <c r="J29" s="4">
        <f>1516+456</f>
        <v>1972</v>
      </c>
      <c r="K29" s="4">
        <f t="shared" si="2"/>
        <v>1972</v>
      </c>
      <c r="L29" s="4"/>
      <c r="M29" s="4">
        <f>2441+456</f>
        <v>2897</v>
      </c>
      <c r="N29" s="4">
        <f t="shared" si="3"/>
        <v>2897</v>
      </c>
      <c r="O29" s="8"/>
      <c r="P29" s="3">
        <f>1516+456</f>
        <v>1972</v>
      </c>
      <c r="Q29" s="4">
        <f t="shared" si="4"/>
        <v>1972</v>
      </c>
      <c r="R29" s="3"/>
      <c r="S29" s="3">
        <f>1516+456</f>
        <v>1972</v>
      </c>
      <c r="T29" s="4">
        <f t="shared" si="5"/>
        <v>1972</v>
      </c>
      <c r="U29" s="3"/>
      <c r="V29" s="3">
        <f>2441+456</f>
        <v>2897</v>
      </c>
      <c r="W29" s="4">
        <f t="shared" si="6"/>
        <v>2897</v>
      </c>
      <c r="X29" s="3"/>
      <c r="Y29" s="3">
        <f>1516+456</f>
        <v>1972</v>
      </c>
      <c r="Z29" s="4">
        <f t="shared" si="7"/>
        <v>1972</v>
      </c>
      <c r="AA29" s="3"/>
      <c r="AB29" s="4">
        <f>1516+456</f>
        <v>1972</v>
      </c>
      <c r="AC29" s="4">
        <f t="shared" si="8"/>
        <v>1972</v>
      </c>
      <c r="AD29" s="3"/>
      <c r="AE29" s="3"/>
      <c r="AF29" s="4">
        <f t="shared" si="12"/>
        <v>0</v>
      </c>
      <c r="AG29" s="3"/>
      <c r="AH29" s="3"/>
      <c r="AI29" s="4">
        <f t="shared" si="9"/>
        <v>0</v>
      </c>
      <c r="AJ29" s="3"/>
      <c r="AK29" s="3"/>
      <c r="AL29" s="4">
        <f t="shared" si="10"/>
        <v>0</v>
      </c>
      <c r="AM29" s="4">
        <f t="shared" si="11"/>
        <v>0</v>
      </c>
      <c r="AN29" s="4">
        <f t="shared" si="14"/>
        <v>17626</v>
      </c>
      <c r="AO29" s="4">
        <f t="shared" si="13"/>
        <v>17626</v>
      </c>
    </row>
    <row r="30" spans="1:41" ht="33.75" customHeight="1">
      <c r="A30" s="7"/>
      <c r="B30" s="7" t="s">
        <v>30</v>
      </c>
      <c r="C30" s="8"/>
      <c r="D30" s="8"/>
      <c r="E30" s="8">
        <f t="shared" ref="E30:AO30" si="36">SUM(E9:E28)</f>
        <v>267027.59000000003</v>
      </c>
      <c r="F30" s="8">
        <f t="shared" si="36"/>
        <v>0</v>
      </c>
      <c r="G30" s="8">
        <f>SUM(G9:G29)</f>
        <v>831478.34</v>
      </c>
      <c r="H30" s="8">
        <f>SUM(H9:H29)</f>
        <v>831478.34</v>
      </c>
      <c r="I30" s="8">
        <f t="shared" si="36"/>
        <v>0</v>
      </c>
      <c r="J30" s="8">
        <f t="shared" si="36"/>
        <v>679766.53</v>
      </c>
      <c r="K30" s="8">
        <f>J30+I30</f>
        <v>679766.53</v>
      </c>
      <c r="L30" s="8">
        <f t="shared" si="36"/>
        <v>0</v>
      </c>
      <c r="M30" s="8">
        <f t="shared" si="36"/>
        <v>515582.94000000006</v>
      </c>
      <c r="N30" s="8">
        <f>M30+L30</f>
        <v>515582.94000000006</v>
      </c>
      <c r="O30" s="8">
        <f t="shared" si="36"/>
        <v>0</v>
      </c>
      <c r="P30" s="8">
        <f t="shared" si="36"/>
        <v>420241.44000000006</v>
      </c>
      <c r="Q30" s="8">
        <f>P30+O30</f>
        <v>420241.44000000006</v>
      </c>
      <c r="R30" s="8">
        <f t="shared" si="36"/>
        <v>0</v>
      </c>
      <c r="S30" s="8">
        <f t="shared" si="36"/>
        <v>359686.64999999997</v>
      </c>
      <c r="T30" s="8">
        <f>S30+R30</f>
        <v>359686.64999999997</v>
      </c>
      <c r="U30" s="8">
        <f t="shared" si="36"/>
        <v>0</v>
      </c>
      <c r="V30" s="8">
        <f t="shared" si="36"/>
        <v>251475.42</v>
      </c>
      <c r="W30" s="8">
        <f>V30+U30</f>
        <v>251475.42</v>
      </c>
      <c r="X30" s="8">
        <f t="shared" si="36"/>
        <v>0</v>
      </c>
      <c r="Y30" s="8">
        <f t="shared" si="36"/>
        <v>629682.42000000016</v>
      </c>
      <c r="Z30" s="8">
        <f t="shared" si="7"/>
        <v>629682.42000000016</v>
      </c>
      <c r="AA30" s="8">
        <f t="shared" si="36"/>
        <v>0</v>
      </c>
      <c r="AB30" s="8">
        <f t="shared" si="36"/>
        <v>387837.74000000005</v>
      </c>
      <c r="AC30" s="8">
        <f>AB30+AA30</f>
        <v>387837.74000000005</v>
      </c>
      <c r="AD30" s="8">
        <f t="shared" si="36"/>
        <v>0</v>
      </c>
      <c r="AE30" s="8">
        <f t="shared" si="36"/>
        <v>0</v>
      </c>
      <c r="AF30" s="8">
        <f>AE30+AD30</f>
        <v>0</v>
      </c>
      <c r="AG30" s="8">
        <f t="shared" si="36"/>
        <v>0</v>
      </c>
      <c r="AH30" s="8">
        <f t="shared" si="36"/>
        <v>0</v>
      </c>
      <c r="AI30" s="8">
        <f>AH30+AG30</f>
        <v>0</v>
      </c>
      <c r="AJ30" s="8">
        <f t="shared" si="36"/>
        <v>0</v>
      </c>
      <c r="AK30" s="8">
        <f t="shared" si="36"/>
        <v>0</v>
      </c>
      <c r="AL30" s="8">
        <f>AK30+AJ30</f>
        <v>0</v>
      </c>
      <c r="AM30" s="8">
        <f t="shared" si="36"/>
        <v>0</v>
      </c>
      <c r="AN30" s="8">
        <f t="shared" si="36"/>
        <v>4340807.0699999994</v>
      </c>
      <c r="AO30" s="8">
        <f t="shared" si="36"/>
        <v>4340807.0699999994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O35"/>
  <sheetViews>
    <sheetView workbookViewId="0">
      <pane xSplit="2" ySplit="8" topLeftCell="R15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88671875" customWidth="1"/>
    <col min="5" max="5" width="11.44140625" customWidth="1"/>
    <col min="6" max="6" width="11.6640625" customWidth="1"/>
    <col min="7" max="7" width="10.5546875" customWidth="1"/>
    <col min="8" max="8" width="11.33203125" customWidth="1"/>
    <col min="9" max="10" width="11.109375" customWidth="1"/>
    <col min="11" max="11" width="10.44140625" customWidth="1"/>
    <col min="12" max="12" width="12.44140625" customWidth="1"/>
    <col min="13" max="13" width="10.6640625" customWidth="1"/>
    <col min="14" max="14" width="10.5546875" customWidth="1"/>
    <col min="15" max="15" width="13.5546875" customWidth="1"/>
    <col min="16" max="16" width="10.6640625" customWidth="1"/>
    <col min="17" max="17" width="10.5546875" customWidth="1"/>
    <col min="18" max="18" width="11.44140625" customWidth="1"/>
    <col min="19" max="19" width="11.33203125" customWidth="1"/>
    <col min="20" max="20" width="10.88671875" customWidth="1"/>
    <col min="21" max="21" width="12.33203125" customWidth="1"/>
    <col min="22" max="22" width="11" customWidth="1"/>
    <col min="23" max="23" width="10.6640625" customWidth="1"/>
    <col min="24" max="24" width="11.44140625" customWidth="1"/>
    <col min="25" max="25" width="10.88671875" customWidth="1"/>
    <col min="26" max="26" width="11.109375" customWidth="1"/>
    <col min="27" max="27" width="11.44140625" customWidth="1"/>
    <col min="28" max="28" width="11.5546875" customWidth="1"/>
    <col min="29" max="29" width="10.6640625" customWidth="1"/>
    <col min="30" max="30" width="11.44140625" customWidth="1"/>
    <col min="31" max="31" width="11.88671875" customWidth="1"/>
    <col min="32" max="32" width="11.109375" customWidth="1"/>
    <col min="33" max="33" width="11.33203125" customWidth="1"/>
    <col min="34" max="34" width="12.33203125" customWidth="1"/>
    <col min="35" max="35" width="11.33203125" customWidth="1"/>
    <col min="36" max="36" width="11.88671875" customWidth="1"/>
    <col min="37" max="37" width="12.109375" customWidth="1"/>
    <col min="38" max="38" width="10.88671875" customWidth="1"/>
    <col min="39" max="39" width="13.109375" customWidth="1"/>
    <col min="40" max="40" width="12" customWidth="1"/>
    <col min="41" max="41" width="12.66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10.5" customHeight="1">
      <c r="L2" s="1"/>
      <c r="M2" s="1"/>
      <c r="N2" s="1"/>
      <c r="O2" s="1"/>
      <c r="R2" s="1" t="s">
        <v>32</v>
      </c>
      <c r="S2" s="1"/>
      <c r="T2" s="1"/>
    </row>
    <row r="3" spans="1:41" ht="11.25" customHeight="1">
      <c r="L3" s="1"/>
      <c r="M3" s="1"/>
      <c r="N3" s="1"/>
      <c r="O3" s="1"/>
      <c r="R3" s="1" t="s">
        <v>33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47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172620.68</v>
      </c>
      <c r="E9" s="4">
        <f>D9+C9</f>
        <v>172620.68</v>
      </c>
      <c r="F9" s="4"/>
      <c r="G9" s="4">
        <v>155780.93</v>
      </c>
      <c r="H9" s="4">
        <f>G9+F9</f>
        <v>155780.93</v>
      </c>
      <c r="I9" s="4"/>
      <c r="J9" s="4">
        <v>151397.92000000001</v>
      </c>
      <c r="K9" s="4">
        <f>J9+I9</f>
        <v>151397.92000000001</v>
      </c>
      <c r="L9" s="4"/>
      <c r="M9" s="4">
        <v>143390.64000000001</v>
      </c>
      <c r="N9" s="4">
        <f>M9+L9</f>
        <v>143390.64000000001</v>
      </c>
      <c r="O9" s="4"/>
      <c r="P9" s="3">
        <v>156330.43</v>
      </c>
      <c r="Q9" s="4">
        <f>P9+O9</f>
        <v>156330.43</v>
      </c>
      <c r="R9" s="3"/>
      <c r="S9" s="3">
        <v>151839.54</v>
      </c>
      <c r="T9" s="4">
        <f>S9+R9</f>
        <v>151839.54</v>
      </c>
      <c r="U9" s="3"/>
      <c r="V9" s="3">
        <v>130115.41</v>
      </c>
      <c r="W9" s="4">
        <f>V9+U9</f>
        <v>130115.41</v>
      </c>
      <c r="X9" s="3"/>
      <c r="Y9" s="3">
        <v>118300.1</v>
      </c>
      <c r="Z9" s="4">
        <f>Y9+X9</f>
        <v>118300.1</v>
      </c>
      <c r="AA9" s="3"/>
      <c r="AB9" s="3">
        <f>189322.32</f>
        <v>189322.32</v>
      </c>
      <c r="AC9" s="4">
        <f>AB9+AA9</f>
        <v>189322.32</v>
      </c>
      <c r="AD9" s="3"/>
      <c r="AE9" s="3"/>
      <c r="AF9" s="4">
        <f>AD9+AE9</f>
        <v>0</v>
      </c>
      <c r="AG9" s="4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1369097.97</v>
      </c>
      <c r="AO9" s="4">
        <f>AL9+AI9+AF9+AC9+Z9+W9+T9+Q9+N9+K9+H9+E9</f>
        <v>1369097.97</v>
      </c>
    </row>
    <row r="10" spans="1:41" ht="20.100000000000001" customHeight="1">
      <c r="A10" s="3">
        <v>2120</v>
      </c>
      <c r="B10" s="3" t="s">
        <v>1</v>
      </c>
      <c r="C10" s="4"/>
      <c r="D10" s="4">
        <v>37936.92</v>
      </c>
      <c r="E10" s="4">
        <f t="shared" ref="E10:E29" si="0">D10+C10</f>
        <v>37936.92</v>
      </c>
      <c r="F10" s="4"/>
      <c r="G10" s="4">
        <v>33062.230000000003</v>
      </c>
      <c r="H10" s="4">
        <f t="shared" ref="H10:H29" si="1">G10+F10</f>
        <v>33062.230000000003</v>
      </c>
      <c r="I10" s="4"/>
      <c r="J10" s="4">
        <v>33420.5</v>
      </c>
      <c r="K10" s="4">
        <f t="shared" ref="K10:K29" si="2">J10+I10</f>
        <v>33420.5</v>
      </c>
      <c r="L10" s="4"/>
      <c r="M10" s="4">
        <v>31949.26</v>
      </c>
      <c r="N10" s="4">
        <f t="shared" ref="N10:N29" si="3">M10+L10</f>
        <v>31949.26</v>
      </c>
      <c r="O10" s="4"/>
      <c r="P10" s="3">
        <v>32455.57</v>
      </c>
      <c r="Q10" s="4">
        <f t="shared" ref="Q10:Q29" si="4">P10+O10</f>
        <v>32455.57</v>
      </c>
      <c r="R10" s="3"/>
      <c r="S10" s="3">
        <v>35106.67</v>
      </c>
      <c r="T10" s="4">
        <f t="shared" ref="T10:T29" si="5">S10+R10</f>
        <v>35106.67</v>
      </c>
      <c r="U10" s="3"/>
      <c r="V10" s="3">
        <v>26347.3</v>
      </c>
      <c r="W10" s="4">
        <f t="shared" ref="W10:W29" si="6">V10+U10</f>
        <v>26347.3</v>
      </c>
      <c r="X10" s="3"/>
      <c r="Y10" s="3">
        <v>26578.63</v>
      </c>
      <c r="Z10" s="4">
        <f t="shared" ref="Z10:Z30" si="7">Y10+X10</f>
        <v>26578.63</v>
      </c>
      <c r="AA10" s="3"/>
      <c r="AB10" s="3">
        <v>41312.89</v>
      </c>
      <c r="AC10" s="4">
        <f t="shared" ref="AC10:AC29" si="8">AB10+AA10</f>
        <v>41312.89</v>
      </c>
      <c r="AD10" s="3"/>
      <c r="AE10" s="3"/>
      <c r="AF10" s="4">
        <f t="shared" ref="AF10:AF29" si="9">AD10+AE10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298169.97000000003</v>
      </c>
      <c r="AO10" s="4">
        <f t="shared" ref="AO10:AO29" si="14">AL10+AI10+AF10+AC10+Z10+W10+T10+Q10+N10+K10+H10+E10</f>
        <v>298169.97000000003</v>
      </c>
    </row>
    <row r="11" spans="1:41" ht="20.100000000000001" customHeight="1">
      <c r="A11" s="3">
        <v>2210</v>
      </c>
      <c r="B11" s="3" t="s">
        <v>2</v>
      </c>
      <c r="C11" s="4"/>
      <c r="D11" s="4">
        <v>2129.9899999999998</v>
      </c>
      <c r="E11" s="4">
        <f t="shared" si="0"/>
        <v>2129.9899999999998</v>
      </c>
      <c r="F11" s="4"/>
      <c r="G11" s="4">
        <v>817.77</v>
      </c>
      <c r="H11" s="4">
        <f t="shared" si="1"/>
        <v>817.77</v>
      </c>
      <c r="I11" s="4"/>
      <c r="J11" s="4">
        <v>743.12</v>
      </c>
      <c r="K11" s="4">
        <f t="shared" si="2"/>
        <v>743.12</v>
      </c>
      <c r="L11" s="4"/>
      <c r="M11" s="4">
        <v>726.24</v>
      </c>
      <c r="N11" s="4">
        <f t="shared" si="3"/>
        <v>726.24</v>
      </c>
      <c r="O11" s="8"/>
      <c r="P11" s="3">
        <v>1212.52</v>
      </c>
      <c r="Q11" s="4">
        <f t="shared" si="4"/>
        <v>1212.52</v>
      </c>
      <c r="R11" s="3"/>
      <c r="S11" s="3"/>
      <c r="T11" s="4">
        <f t="shared" si="5"/>
        <v>0</v>
      </c>
      <c r="U11" s="3"/>
      <c r="V11" s="3"/>
      <c r="W11" s="4">
        <f t="shared" si="6"/>
        <v>0</v>
      </c>
      <c r="X11" s="3"/>
      <c r="Y11" s="3"/>
      <c r="Z11" s="4">
        <f t="shared" si="7"/>
        <v>0</v>
      </c>
      <c r="AA11" s="3"/>
      <c r="AB11" s="3">
        <v>2240.41</v>
      </c>
      <c r="AC11" s="4">
        <f t="shared" si="8"/>
        <v>2240.41</v>
      </c>
      <c r="AD11" s="3"/>
      <c r="AE11" s="4"/>
      <c r="AF11" s="4">
        <f t="shared" si="9"/>
        <v>0</v>
      </c>
      <c r="AG11" s="3"/>
      <c r="AH11" s="4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7870.0499999999993</v>
      </c>
      <c r="AO11" s="4">
        <f t="shared" si="14"/>
        <v>7870.0499999999993</v>
      </c>
    </row>
    <row r="12" spans="1:41" ht="20.100000000000001" customHeight="1">
      <c r="A12" s="3">
        <v>2220</v>
      </c>
      <c r="B12" s="3" t="s">
        <v>3</v>
      </c>
      <c r="C12" s="4"/>
      <c r="D12" s="4"/>
      <c r="E12" s="4">
        <f t="shared" si="0"/>
        <v>0</v>
      </c>
      <c r="F12" s="4"/>
      <c r="G12" s="4">
        <v>1680</v>
      </c>
      <c r="H12" s="4">
        <f t="shared" si="1"/>
        <v>1680</v>
      </c>
      <c r="I12" s="4"/>
      <c r="J12" s="4">
        <v>1680</v>
      </c>
      <c r="K12" s="4">
        <f t="shared" si="2"/>
        <v>1680</v>
      </c>
      <c r="L12" s="4"/>
      <c r="M12" s="4">
        <v>1706.19</v>
      </c>
      <c r="N12" s="4">
        <f t="shared" si="3"/>
        <v>1706.19</v>
      </c>
      <c r="O12" s="8"/>
      <c r="P12" s="3">
        <v>278.14</v>
      </c>
      <c r="Q12" s="4">
        <f t="shared" si="4"/>
        <v>278.14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>
        <v>1960.8</v>
      </c>
      <c r="AC12" s="4">
        <f t="shared" si="8"/>
        <v>1960.8</v>
      </c>
      <c r="AD12" s="3"/>
      <c r="AE12" s="20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7305.13</v>
      </c>
      <c r="AO12" s="4">
        <f t="shared" si="14"/>
        <v>7305.13</v>
      </c>
    </row>
    <row r="13" spans="1:41" ht="20.100000000000001" customHeight="1">
      <c r="A13" s="3">
        <v>2230</v>
      </c>
      <c r="B13" s="3" t="s">
        <v>4</v>
      </c>
      <c r="C13" s="4"/>
      <c r="D13" s="4"/>
      <c r="E13" s="4">
        <f t="shared" si="0"/>
        <v>0</v>
      </c>
      <c r="F13" s="4"/>
      <c r="G13" s="4"/>
      <c r="H13" s="4">
        <f t="shared" si="1"/>
        <v>0</v>
      </c>
      <c r="I13" s="4"/>
      <c r="J13" s="4"/>
      <c r="K13" s="4">
        <f t="shared" si="2"/>
        <v>0</v>
      </c>
      <c r="L13" s="4"/>
      <c r="M13" s="4"/>
      <c r="N13" s="4">
        <f t="shared" si="3"/>
        <v>0</v>
      </c>
      <c r="O13" s="4"/>
      <c r="P13" s="4"/>
      <c r="Q13" s="4">
        <f t="shared" si="4"/>
        <v>0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3">
        <v>7560.68</v>
      </c>
      <c r="AC13" s="4">
        <f t="shared" si="8"/>
        <v>7560.68</v>
      </c>
      <c r="AD13" s="3"/>
      <c r="AE13" s="4"/>
      <c r="AF13" s="4">
        <f t="shared" si="9"/>
        <v>0</v>
      </c>
      <c r="AG13" s="3"/>
      <c r="AH13" s="4"/>
      <c r="AI13" s="4">
        <f t="shared" si="10"/>
        <v>0</v>
      </c>
      <c r="AJ13" s="3"/>
      <c r="AK13" s="3"/>
      <c r="AL13" s="4">
        <f t="shared" si="11"/>
        <v>0</v>
      </c>
      <c r="AM13" s="4">
        <f t="shared" si="12"/>
        <v>0</v>
      </c>
      <c r="AN13" s="4">
        <f t="shared" si="13"/>
        <v>7560.68</v>
      </c>
      <c r="AO13" s="4">
        <f>AL13+AI13+AF13+AC13+Z13+W13+T13+Q13+N13+K13+H13+E13</f>
        <v>7560.68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150+7200</f>
        <v>7350</v>
      </c>
      <c r="H14" s="4">
        <f t="shared" si="1"/>
        <v>7350</v>
      </c>
      <c r="I14" s="4"/>
      <c r="J14" s="4">
        <f>16968.68+150</f>
        <v>17118.68</v>
      </c>
      <c r="K14" s="4">
        <f t="shared" si="2"/>
        <v>17118.68</v>
      </c>
      <c r="L14" s="4"/>
      <c r="M14" s="4">
        <f>150+16221.98</f>
        <v>16371.98</v>
      </c>
      <c r="N14" s="4">
        <f t="shared" si="3"/>
        <v>16371.98</v>
      </c>
      <c r="O14" s="4"/>
      <c r="P14" s="3">
        <f>16698.98+150</f>
        <v>16848.98</v>
      </c>
      <c r="Q14" s="4">
        <f t="shared" si="4"/>
        <v>16848.98</v>
      </c>
      <c r="R14" s="3"/>
      <c r="S14" s="3">
        <f>9573.68+150</f>
        <v>9723.68</v>
      </c>
      <c r="T14" s="4">
        <f t="shared" si="5"/>
        <v>9723.68</v>
      </c>
      <c r="U14" s="3"/>
      <c r="V14" s="3">
        <f>15112.07+150</f>
        <v>15262.07</v>
      </c>
      <c r="W14" s="4">
        <f t="shared" si="6"/>
        <v>15262.07</v>
      </c>
      <c r="X14" s="3"/>
      <c r="Y14" s="3">
        <f>150+27159.35</f>
        <v>27309.35</v>
      </c>
      <c r="Z14" s="4">
        <f t="shared" si="7"/>
        <v>27309.35</v>
      </c>
      <c r="AA14" s="3"/>
      <c r="AB14" s="3">
        <f>70219.22+150</f>
        <v>70369.22</v>
      </c>
      <c r="AC14" s="4">
        <f t="shared" si="8"/>
        <v>70369.22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180353.96000000002</v>
      </c>
      <c r="AO14" s="4">
        <f t="shared" si="14"/>
        <v>180353.96000000002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3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f>502456.74</f>
        <v>502456.74</v>
      </c>
      <c r="H17" s="4">
        <f t="shared" si="1"/>
        <v>502456.74</v>
      </c>
      <c r="I17" s="4"/>
      <c r="J17" s="4">
        <v>373060.79</v>
      </c>
      <c r="K17" s="4">
        <f t="shared" si="2"/>
        <v>373060.79</v>
      </c>
      <c r="L17" s="4"/>
      <c r="M17" s="4">
        <v>185510.39</v>
      </c>
      <c r="N17" s="4">
        <f t="shared" si="3"/>
        <v>185510.39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4"/>
      <c r="AL17" s="4">
        <f t="shared" si="11"/>
        <v>0</v>
      </c>
      <c r="AM17" s="4">
        <f t="shared" si="12"/>
        <v>0</v>
      </c>
      <c r="AN17" s="4">
        <f t="shared" si="13"/>
        <v>1061027.92</v>
      </c>
      <c r="AO17" s="4">
        <f t="shared" si="14"/>
        <v>1061027.92</v>
      </c>
    </row>
    <row r="18" spans="1:41" ht="20.100000000000001" customHeight="1">
      <c r="A18" s="3">
        <v>2272</v>
      </c>
      <c r="B18" s="3" t="s">
        <v>9</v>
      </c>
      <c r="C18" s="4"/>
      <c r="D18" s="4">
        <v>3457.44</v>
      </c>
      <c r="E18" s="4">
        <f t="shared" si="0"/>
        <v>3457.44</v>
      </c>
      <c r="F18" s="4"/>
      <c r="G18" s="4">
        <v>5009.76</v>
      </c>
      <c r="H18" s="4">
        <f t="shared" si="1"/>
        <v>5009.76</v>
      </c>
      <c r="I18" s="4"/>
      <c r="J18" s="4">
        <v>5644.8</v>
      </c>
      <c r="K18" s="4">
        <f t="shared" si="2"/>
        <v>5644.8</v>
      </c>
      <c r="L18" s="4"/>
      <c r="M18" s="4">
        <v>4868.6400000000003</v>
      </c>
      <c r="N18" s="4">
        <f t="shared" si="3"/>
        <v>4868.6400000000003</v>
      </c>
      <c r="O18" s="4"/>
      <c r="P18" s="3">
        <v>4868.6400000000003</v>
      </c>
      <c r="Q18" s="4">
        <f t="shared" si="4"/>
        <v>4868.6400000000003</v>
      </c>
      <c r="R18" s="3"/>
      <c r="S18" s="3">
        <v>4116.8100000000004</v>
      </c>
      <c r="T18" s="4">
        <f t="shared" si="5"/>
        <v>4116.8100000000004</v>
      </c>
      <c r="U18" s="3"/>
      <c r="V18" s="3">
        <v>2058.17</v>
      </c>
      <c r="W18" s="4">
        <f t="shared" si="6"/>
        <v>2058.17</v>
      </c>
      <c r="X18" s="3"/>
      <c r="Y18" s="3">
        <v>2040.17</v>
      </c>
      <c r="Z18" s="4">
        <f t="shared" si="7"/>
        <v>2040.17</v>
      </c>
      <c r="AA18" s="3"/>
      <c r="AB18" s="3">
        <f>1412.42+4708.08</f>
        <v>6120.5</v>
      </c>
      <c r="AC18" s="4">
        <f t="shared" si="8"/>
        <v>6120.5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38184.93</v>
      </c>
      <c r="AO18" s="4">
        <f t="shared" si="14"/>
        <v>38184.93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24157.9</v>
      </c>
      <c r="H19" s="4">
        <f t="shared" si="1"/>
        <v>24157.9</v>
      </c>
      <c r="I19" s="4"/>
      <c r="J19" s="4">
        <v>33048.1</v>
      </c>
      <c r="K19" s="4">
        <f t="shared" si="2"/>
        <v>33048.1</v>
      </c>
      <c r="L19" s="4"/>
      <c r="M19" s="4">
        <v>39578.15</v>
      </c>
      <c r="N19" s="4">
        <f t="shared" si="3"/>
        <v>39578.15</v>
      </c>
      <c r="O19" s="4"/>
      <c r="P19" s="3">
        <v>32164.32</v>
      </c>
      <c r="Q19" s="4">
        <f t="shared" si="4"/>
        <v>32164.32</v>
      </c>
      <c r="R19" s="3"/>
      <c r="S19" s="3">
        <v>31848.44</v>
      </c>
      <c r="T19" s="4">
        <f t="shared" si="5"/>
        <v>31848.44</v>
      </c>
      <c r="U19" s="3"/>
      <c r="V19" s="3">
        <v>15583.39</v>
      </c>
      <c r="W19" s="4">
        <f t="shared" si="6"/>
        <v>15583.39</v>
      </c>
      <c r="X19" s="3"/>
      <c r="Y19" s="3">
        <v>12140.13</v>
      </c>
      <c r="Z19" s="4">
        <f t="shared" si="7"/>
        <v>12140.13</v>
      </c>
      <c r="AA19" s="3"/>
      <c r="AB19" s="3">
        <v>11616.66</v>
      </c>
      <c r="AC19" s="4">
        <f t="shared" si="8"/>
        <v>11616.66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200137.09</v>
      </c>
      <c r="AO19" s="4">
        <f t="shared" si="14"/>
        <v>200137.09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10394.57</v>
      </c>
      <c r="E21" s="4">
        <f t="shared" si="0"/>
        <v>10394.57</v>
      </c>
      <c r="F21" s="4"/>
      <c r="G21" s="4">
        <v>6108.71</v>
      </c>
      <c r="H21" s="4">
        <f t="shared" si="1"/>
        <v>6108.71</v>
      </c>
      <c r="I21" s="4"/>
      <c r="J21" s="4">
        <v>1052.47</v>
      </c>
      <c r="K21" s="4">
        <f t="shared" si="2"/>
        <v>1052.47</v>
      </c>
      <c r="L21" s="4"/>
      <c r="M21" s="4">
        <v>786.06</v>
      </c>
      <c r="N21" s="4">
        <f t="shared" si="3"/>
        <v>786.06</v>
      </c>
      <c r="O21" s="4"/>
      <c r="P21" s="3">
        <v>1086.6600000000001</v>
      </c>
      <c r="Q21" s="4">
        <f t="shared" si="4"/>
        <v>1086.6600000000001</v>
      </c>
      <c r="R21" s="3"/>
      <c r="S21" s="3">
        <v>524.04</v>
      </c>
      <c r="T21" s="4">
        <f t="shared" si="5"/>
        <v>524.04</v>
      </c>
      <c r="U21" s="3"/>
      <c r="V21" s="3">
        <v>524.04</v>
      </c>
      <c r="W21" s="4">
        <f t="shared" si="6"/>
        <v>524.04</v>
      </c>
      <c r="X21" s="3"/>
      <c r="Y21" s="3">
        <v>1145.43</v>
      </c>
      <c r="Z21" s="4">
        <f t="shared" si="7"/>
        <v>1145.43</v>
      </c>
      <c r="AA21" s="3"/>
      <c r="AB21" s="3">
        <v>1224.42</v>
      </c>
      <c r="AC21" s="4">
        <f t="shared" si="8"/>
        <v>1224.42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22846.400000000001</v>
      </c>
      <c r="AO21" s="4">
        <f t="shared" si="14"/>
        <v>22846.400000000001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/>
      <c r="T22" s="4">
        <f t="shared" si="5"/>
        <v>0</v>
      </c>
      <c r="U22" s="3"/>
      <c r="V22" s="3"/>
      <c r="W22" s="4">
        <f t="shared" si="6"/>
        <v>0</v>
      </c>
      <c r="X22" s="3"/>
      <c r="Y22" s="3">
        <v>320</v>
      </c>
      <c r="Z22" s="4">
        <f t="shared" si="7"/>
        <v>320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320</v>
      </c>
      <c r="AO22" s="4">
        <f t="shared" si="14"/>
        <v>320</v>
      </c>
    </row>
    <row r="23" spans="1:41" ht="25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7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1"/>
        <v>0</v>
      </c>
      <c r="I24" s="4">
        <f t="shared" ref="I24" si="17">H24+G24</f>
        <v>0</v>
      </c>
      <c r="J24" s="4"/>
      <c r="K24" s="4">
        <f t="shared" si="2"/>
        <v>0</v>
      </c>
      <c r="L24" s="4"/>
      <c r="M24" s="4"/>
      <c r="N24" s="4">
        <f t="shared" si="3"/>
        <v>0</v>
      </c>
      <c r="O24" s="4">
        <f t="shared" ref="O24" si="18">N24+M24</f>
        <v>0</v>
      </c>
      <c r="P24" s="4">
        <f t="shared" ref="P24" si="19">O24+N24</f>
        <v>0</v>
      </c>
      <c r="Q24" s="4">
        <f t="shared" si="4"/>
        <v>0</v>
      </c>
      <c r="R24" s="4">
        <f t="shared" ref="R24" si="20">Q24+P24</f>
        <v>0</v>
      </c>
      <c r="S24" s="4">
        <f t="shared" ref="S24" si="21">R24+Q24</f>
        <v>0</v>
      </c>
      <c r="T24" s="4">
        <f t="shared" si="5"/>
        <v>0</v>
      </c>
      <c r="U24" s="4">
        <f t="shared" ref="U24" si="22">T24+S24</f>
        <v>0</v>
      </c>
      <c r="V24" s="4">
        <f t="shared" ref="V24" si="23">U24+T24</f>
        <v>0</v>
      </c>
      <c r="W24" s="4">
        <f t="shared" si="6"/>
        <v>0</v>
      </c>
      <c r="X24" s="4">
        <f t="shared" ref="X24" si="24">W24+V24</f>
        <v>0</v>
      </c>
      <c r="Y24" s="4">
        <f t="shared" ref="Y24" si="25">X24+W24</f>
        <v>0</v>
      </c>
      <c r="Z24" s="4">
        <f t="shared" si="7"/>
        <v>0</v>
      </c>
      <c r="AA24" s="4">
        <f t="shared" ref="AA24" si="26">Z24+Y24</f>
        <v>0</v>
      </c>
      <c r="AB24" s="4">
        <f t="shared" ref="AB24" si="27">AA24+Z24</f>
        <v>0</v>
      </c>
      <c r="AC24" s="4">
        <f t="shared" si="8"/>
        <v>0</v>
      </c>
      <c r="AD24" s="4">
        <f t="shared" ref="AD24" si="28">AC24+AB24</f>
        <v>0</v>
      </c>
      <c r="AE24" s="4"/>
      <c r="AF24" s="4">
        <f t="shared" ref="AF24" si="29">AE24+AD24</f>
        <v>0</v>
      </c>
      <c r="AG24" s="4"/>
      <c r="AH24" s="4"/>
      <c r="AI24" s="4">
        <f t="shared" si="10"/>
        <v>0</v>
      </c>
      <c r="AJ24" s="4">
        <f t="shared" ref="AJ24" si="30">AI24+AH24</f>
        <v>0</v>
      </c>
      <c r="AK24" s="4">
        <f t="shared" ref="AK24" si="31">AJ24+AI24</f>
        <v>0</v>
      </c>
      <c r="AL24" s="4">
        <f t="shared" si="11"/>
        <v>0</v>
      </c>
      <c r="AM24" s="4">
        <f t="shared" ref="AM24" si="32">AL24+AK24</f>
        <v>0</v>
      </c>
      <c r="AN24" s="4">
        <f t="shared" si="13"/>
        <v>0</v>
      </c>
      <c r="AO24" s="4">
        <f t="shared" si="14"/>
        <v>0</v>
      </c>
    </row>
    <row r="25" spans="1:41" ht="27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24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1516</v>
      </c>
      <c r="H29" s="4">
        <f t="shared" si="1"/>
        <v>1516</v>
      </c>
      <c r="I29" s="4"/>
      <c r="J29" s="4">
        <v>1516</v>
      </c>
      <c r="K29" s="4">
        <f t="shared" si="2"/>
        <v>1516</v>
      </c>
      <c r="L29" s="4"/>
      <c r="M29" s="4">
        <v>2266</v>
      </c>
      <c r="N29" s="4">
        <f t="shared" si="3"/>
        <v>2266</v>
      </c>
      <c r="O29" s="8"/>
      <c r="P29" s="3">
        <v>1516</v>
      </c>
      <c r="Q29" s="4">
        <f t="shared" si="4"/>
        <v>1516</v>
      </c>
      <c r="R29" s="3"/>
      <c r="S29" s="3">
        <v>1516</v>
      </c>
      <c r="T29" s="4">
        <f t="shared" si="5"/>
        <v>1516</v>
      </c>
      <c r="U29" s="3"/>
      <c r="V29" s="3">
        <v>2266</v>
      </c>
      <c r="W29" s="4">
        <f t="shared" si="6"/>
        <v>2266</v>
      </c>
      <c r="X29" s="3"/>
      <c r="Y29" s="3">
        <v>1516</v>
      </c>
      <c r="Z29" s="4">
        <f t="shared" si="7"/>
        <v>1516</v>
      </c>
      <c r="AA29" s="3"/>
      <c r="AB29" s="4">
        <v>1516</v>
      </c>
      <c r="AC29" s="4">
        <f t="shared" si="8"/>
        <v>1516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13628</v>
      </c>
      <c r="AO29" s="4">
        <f t="shared" si="14"/>
        <v>13628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33">SUM(D9:D28)</f>
        <v>226539.59999999998</v>
      </c>
      <c r="E30" s="8">
        <f>SUM(E9:E28)</f>
        <v>226539.59999999998</v>
      </c>
      <c r="F30" s="8">
        <f t="shared" si="33"/>
        <v>0</v>
      </c>
      <c r="G30" s="8">
        <f t="shared" si="33"/>
        <v>736424.03999999992</v>
      </c>
      <c r="H30" s="8">
        <f t="shared" si="33"/>
        <v>736424.03999999992</v>
      </c>
      <c r="I30" s="8">
        <f t="shared" si="33"/>
        <v>0</v>
      </c>
      <c r="J30" s="8">
        <f t="shared" si="33"/>
        <v>617166.38</v>
      </c>
      <c r="K30" s="8">
        <f>J30+I30</f>
        <v>617166.38</v>
      </c>
      <c r="L30" s="8">
        <f t="shared" si="33"/>
        <v>0</v>
      </c>
      <c r="M30" s="8">
        <f t="shared" si="33"/>
        <v>424887.5500000001</v>
      </c>
      <c r="N30" s="8">
        <f>M30+L30</f>
        <v>424887.5500000001</v>
      </c>
      <c r="O30" s="8">
        <f t="shared" si="33"/>
        <v>0</v>
      </c>
      <c r="P30" s="8">
        <f t="shared" si="33"/>
        <v>245245.26000000004</v>
      </c>
      <c r="Q30" s="8">
        <f>P30+O30</f>
        <v>245245.26000000004</v>
      </c>
      <c r="R30" s="8">
        <f t="shared" si="33"/>
        <v>0</v>
      </c>
      <c r="S30" s="8">
        <f t="shared" si="33"/>
        <v>233159.18000000002</v>
      </c>
      <c r="T30" s="8">
        <f>S30+R30</f>
        <v>233159.18000000002</v>
      </c>
      <c r="U30" s="8">
        <f t="shared" si="33"/>
        <v>0</v>
      </c>
      <c r="V30" s="8">
        <f t="shared" si="33"/>
        <v>189890.38000000003</v>
      </c>
      <c r="W30" s="8">
        <f>V30+U30</f>
        <v>189890.38000000003</v>
      </c>
      <c r="X30" s="8">
        <f t="shared" si="33"/>
        <v>0</v>
      </c>
      <c r="Y30" s="8">
        <f t="shared" si="33"/>
        <v>187833.81000000003</v>
      </c>
      <c r="Z30" s="8">
        <f t="shared" si="7"/>
        <v>187833.81000000003</v>
      </c>
      <c r="AA30" s="8">
        <f t="shared" si="33"/>
        <v>0</v>
      </c>
      <c r="AB30" s="8">
        <f t="shared" si="33"/>
        <v>331727.89999999997</v>
      </c>
      <c r="AC30" s="8">
        <f>AB30+AA30</f>
        <v>331727.89999999997</v>
      </c>
      <c r="AD30" s="8">
        <f t="shared" si="33"/>
        <v>0</v>
      </c>
      <c r="AE30" s="8">
        <f t="shared" si="33"/>
        <v>0</v>
      </c>
      <c r="AF30" s="8">
        <f>AE30+AD30</f>
        <v>0</v>
      </c>
      <c r="AG30" s="8">
        <f t="shared" si="33"/>
        <v>0</v>
      </c>
      <c r="AH30" s="8">
        <f t="shared" si="33"/>
        <v>0</v>
      </c>
      <c r="AI30" s="8">
        <f>AH30+AG30</f>
        <v>0</v>
      </c>
      <c r="AJ30" s="8">
        <f t="shared" si="33"/>
        <v>0</v>
      </c>
      <c r="AK30" s="8">
        <f t="shared" si="33"/>
        <v>0</v>
      </c>
      <c r="AL30" s="8">
        <f>AK30+AJ30</f>
        <v>0</v>
      </c>
      <c r="AM30" s="8">
        <f t="shared" si="33"/>
        <v>0</v>
      </c>
      <c r="AN30" s="8">
        <f t="shared" si="33"/>
        <v>3192874.0999999996</v>
      </c>
      <c r="AO30" s="8">
        <f t="shared" si="33"/>
        <v>3192874.0999999996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O35"/>
  <sheetViews>
    <sheetView workbookViewId="0">
      <pane xSplit="2" ySplit="8" topLeftCell="R15" activePane="bottomRight" state="frozen"/>
      <selection pane="topRight" activeCell="C1" sqref="C1"/>
      <selection pane="bottomLeft" activeCell="A10" sqref="A10"/>
      <selection pane="bottomRight" activeCell="Y5" sqref="Y5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5546875" customWidth="1"/>
    <col min="5" max="6" width="11.6640625" customWidth="1"/>
    <col min="7" max="7" width="11.109375" customWidth="1"/>
    <col min="8" max="8" width="13" customWidth="1"/>
    <col min="9" max="9" width="11.109375" customWidth="1"/>
    <col min="10" max="10" width="11.6640625" customWidth="1"/>
    <col min="11" max="11" width="11.5546875" customWidth="1"/>
    <col min="12" max="12" width="12.44140625" customWidth="1"/>
    <col min="13" max="13" width="10.6640625" customWidth="1"/>
    <col min="14" max="14" width="11.109375" customWidth="1"/>
    <col min="15" max="15" width="13.5546875" customWidth="1"/>
    <col min="16" max="16" width="12.44140625" customWidth="1"/>
    <col min="17" max="17" width="10.44140625" customWidth="1"/>
    <col min="18" max="18" width="13.109375" customWidth="1"/>
    <col min="19" max="19" width="11.109375" customWidth="1"/>
    <col min="20" max="20" width="13" customWidth="1"/>
    <col min="21" max="21" width="12.33203125" customWidth="1"/>
    <col min="22" max="22" width="10.44140625" customWidth="1"/>
    <col min="23" max="23" width="14.109375" customWidth="1"/>
    <col min="24" max="24" width="11.44140625" customWidth="1"/>
    <col min="25" max="25" width="11" customWidth="1"/>
    <col min="26" max="26" width="11.33203125" customWidth="1"/>
    <col min="27" max="27" width="11.44140625" customWidth="1"/>
    <col min="28" max="28" width="10.5546875" customWidth="1"/>
    <col min="29" max="29" width="11" customWidth="1"/>
    <col min="30" max="30" width="11.44140625" customWidth="1"/>
    <col min="31" max="31" width="11.109375" customWidth="1"/>
    <col min="32" max="32" width="11.44140625" customWidth="1"/>
    <col min="33" max="33" width="11.33203125" customWidth="1"/>
    <col min="34" max="34" width="10.5546875" customWidth="1"/>
    <col min="35" max="35" width="11.109375" customWidth="1"/>
    <col min="36" max="36" width="11.88671875" customWidth="1"/>
    <col min="37" max="37" width="10.5546875" customWidth="1"/>
    <col min="38" max="38" width="11.33203125" customWidth="1"/>
    <col min="39" max="39" width="13" customWidth="1"/>
    <col min="40" max="40" width="11.88671875" customWidth="1"/>
    <col min="41" max="41" width="11.66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55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210358.82</v>
      </c>
      <c r="E9" s="4">
        <f>D9+C9</f>
        <v>210358.82</v>
      </c>
      <c r="F9" s="4"/>
      <c r="G9" s="4">
        <v>207156.28</v>
      </c>
      <c r="H9" s="4">
        <f>G9+F9</f>
        <v>207156.28</v>
      </c>
      <c r="I9" s="4"/>
      <c r="J9" s="4">
        <v>266749.8</v>
      </c>
      <c r="K9" s="4">
        <f>J9+I9</f>
        <v>266749.8</v>
      </c>
      <c r="L9" s="4"/>
      <c r="M9" s="4">
        <v>263891.14</v>
      </c>
      <c r="N9" s="4">
        <f>M9+L9</f>
        <v>263891.14</v>
      </c>
      <c r="O9" s="4"/>
      <c r="P9" s="3">
        <v>264393.59000000003</v>
      </c>
      <c r="Q9" s="4">
        <f>P9+O9</f>
        <v>264393.59000000003</v>
      </c>
      <c r="R9" s="3"/>
      <c r="S9" s="3">
        <v>254242.83</v>
      </c>
      <c r="T9" s="4">
        <f t="shared" ref="T9:T29" si="0">S9+R9</f>
        <v>254242.83</v>
      </c>
      <c r="U9" s="3"/>
      <c r="V9" s="3">
        <v>266651.33</v>
      </c>
      <c r="W9" s="4">
        <f>V9+U9</f>
        <v>266651.33</v>
      </c>
      <c r="X9" s="3"/>
      <c r="Y9" s="3">
        <v>192360.95</v>
      </c>
      <c r="Z9" s="4">
        <f>Y9+X9</f>
        <v>192360.95</v>
      </c>
      <c r="AA9" s="3"/>
      <c r="AB9" s="3">
        <v>206323.14</v>
      </c>
      <c r="AC9" s="4">
        <f>AB9+AA9</f>
        <v>206323.14</v>
      </c>
      <c r="AD9" s="3"/>
      <c r="AE9" s="3"/>
      <c r="AF9" s="4">
        <f>AD9+AE9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2132127.88</v>
      </c>
      <c r="AO9" s="4">
        <f>AL9+AI9+AF9+AC9+Z9+W9+T9+Q9+N9+K9+H9+E9</f>
        <v>2132127.88</v>
      </c>
    </row>
    <row r="10" spans="1:41" ht="20.100000000000001" customHeight="1">
      <c r="A10" s="3">
        <v>2120</v>
      </c>
      <c r="B10" s="3" t="s">
        <v>1</v>
      </c>
      <c r="C10" s="4"/>
      <c r="D10" s="4">
        <v>49529.43</v>
      </c>
      <c r="E10" s="4">
        <f t="shared" ref="E10:E29" si="1">D10+C10</f>
        <v>49529.43</v>
      </c>
      <c r="F10" s="4"/>
      <c r="G10" s="4">
        <v>47001.14</v>
      </c>
      <c r="H10" s="4">
        <f t="shared" ref="H10:H29" si="2">G10+F10</f>
        <v>47001.14</v>
      </c>
      <c r="I10" s="4"/>
      <c r="J10" s="4">
        <v>60920.2</v>
      </c>
      <c r="K10" s="4">
        <f t="shared" ref="K10:K29" si="3">J10+I10</f>
        <v>60920.2</v>
      </c>
      <c r="L10" s="4"/>
      <c r="M10" s="4">
        <v>56535.97</v>
      </c>
      <c r="N10" s="4">
        <f t="shared" ref="N10:N29" si="4">M10+L10</f>
        <v>56535.97</v>
      </c>
      <c r="O10" s="4"/>
      <c r="P10" s="3">
        <v>55874.49</v>
      </c>
      <c r="Q10" s="4">
        <f t="shared" ref="Q10:Q29" si="5">P10+O10</f>
        <v>55874.49</v>
      </c>
      <c r="R10" s="3"/>
      <c r="S10" s="3">
        <v>56723.44</v>
      </c>
      <c r="T10" s="4">
        <f t="shared" si="0"/>
        <v>56723.44</v>
      </c>
      <c r="U10" s="3"/>
      <c r="V10" s="3">
        <v>59140.56</v>
      </c>
      <c r="W10" s="4">
        <f t="shared" ref="W10:W29" si="6">V10+U10</f>
        <v>59140.56</v>
      </c>
      <c r="X10" s="3"/>
      <c r="Y10" s="3">
        <v>43969.16</v>
      </c>
      <c r="Z10" s="4">
        <f t="shared" ref="Z10:Z30" si="7">Y10+X10</f>
        <v>43969.16</v>
      </c>
      <c r="AA10" s="3"/>
      <c r="AB10" s="3">
        <v>49260.76</v>
      </c>
      <c r="AC10" s="4">
        <f t="shared" ref="AC10:AC29" si="8">AB10+AA10</f>
        <v>49260.76</v>
      </c>
      <c r="AD10" s="3"/>
      <c r="AE10" s="3"/>
      <c r="AF10" s="4">
        <f t="shared" ref="AF10:AF29" si="9">AD10+AE10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478955.15</v>
      </c>
      <c r="AO10" s="4">
        <f t="shared" ref="AO10:AO29" si="14">AL10+AI10+AF10+AC10+Z10+W10+T10+Q10+N10+K10+H10+E10</f>
        <v>478955.15</v>
      </c>
    </row>
    <row r="11" spans="1:41" ht="20.100000000000001" customHeight="1">
      <c r="A11" s="3">
        <v>2210</v>
      </c>
      <c r="B11" s="3" t="s">
        <v>2</v>
      </c>
      <c r="C11" s="4"/>
      <c r="D11" s="4">
        <v>435.6</v>
      </c>
      <c r="E11" s="4">
        <f t="shared" si="1"/>
        <v>435.6</v>
      </c>
      <c r="F11" s="4"/>
      <c r="G11" s="4">
        <v>1350.1</v>
      </c>
      <c r="H11" s="4">
        <f t="shared" si="2"/>
        <v>1350.1</v>
      </c>
      <c r="I11" s="4"/>
      <c r="J11" s="4">
        <v>678.58</v>
      </c>
      <c r="K11" s="4">
        <f t="shared" si="3"/>
        <v>678.58</v>
      </c>
      <c r="L11" s="4"/>
      <c r="M11" s="4">
        <v>496.3</v>
      </c>
      <c r="N11" s="4">
        <f t="shared" si="4"/>
        <v>496.3</v>
      </c>
      <c r="O11" s="8"/>
      <c r="P11" s="3">
        <v>1692.92</v>
      </c>
      <c r="Q11" s="4">
        <f t="shared" si="5"/>
        <v>1692.92</v>
      </c>
      <c r="R11" s="3"/>
      <c r="S11" s="3">
        <v>376.2</v>
      </c>
      <c r="T11" s="4">
        <f t="shared" si="0"/>
        <v>376.2</v>
      </c>
      <c r="U11" s="3"/>
      <c r="V11" s="3"/>
      <c r="W11" s="4">
        <f t="shared" si="6"/>
        <v>0</v>
      </c>
      <c r="X11" s="3"/>
      <c r="Y11" s="3"/>
      <c r="Z11" s="4">
        <f t="shared" si="7"/>
        <v>0</v>
      </c>
      <c r="AA11" s="3"/>
      <c r="AB11" s="3">
        <v>783.42</v>
      </c>
      <c r="AC11" s="4">
        <f t="shared" si="8"/>
        <v>783.42</v>
      </c>
      <c r="AD11" s="3"/>
      <c r="AE11" s="4"/>
      <c r="AF11" s="4">
        <f t="shared" si="9"/>
        <v>0</v>
      </c>
      <c r="AG11" s="3"/>
      <c r="AH11" s="3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5813.1200000000008</v>
      </c>
      <c r="AO11" s="4">
        <f t="shared" si="14"/>
        <v>5813.1200000000008</v>
      </c>
    </row>
    <row r="12" spans="1:41" ht="20.100000000000001" customHeight="1">
      <c r="A12" s="3">
        <v>2220</v>
      </c>
      <c r="B12" s="3" t="s">
        <v>3</v>
      </c>
      <c r="C12" s="4"/>
      <c r="D12" s="4"/>
      <c r="E12" s="4">
        <f t="shared" si="1"/>
        <v>0</v>
      </c>
      <c r="F12" s="4"/>
      <c r="G12" s="4"/>
      <c r="H12" s="4">
        <f t="shared" si="2"/>
        <v>0</v>
      </c>
      <c r="I12" s="4"/>
      <c r="J12" s="4">
        <v>1890</v>
      </c>
      <c r="K12" s="4">
        <f t="shared" si="3"/>
        <v>1890</v>
      </c>
      <c r="L12" s="4"/>
      <c r="M12" s="4">
        <v>1004</v>
      </c>
      <c r="N12" s="4">
        <f t="shared" si="4"/>
        <v>1004</v>
      </c>
      <c r="O12" s="8"/>
      <c r="P12" s="3">
        <v>532</v>
      </c>
      <c r="Q12" s="4">
        <f t="shared" si="5"/>
        <v>532</v>
      </c>
      <c r="R12" s="3"/>
      <c r="S12" s="3"/>
      <c r="T12" s="4">
        <f t="shared" si="0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/>
      <c r="AC12" s="4">
        <f t="shared" si="8"/>
        <v>0</v>
      </c>
      <c r="AD12" s="3"/>
      <c r="AE12" s="4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3426</v>
      </c>
      <c r="AO12" s="4">
        <f t="shared" si="14"/>
        <v>3426</v>
      </c>
    </row>
    <row r="13" spans="1:41" ht="20.100000000000001" customHeight="1">
      <c r="A13" s="3">
        <v>2230</v>
      </c>
      <c r="B13" s="3" t="s">
        <v>4</v>
      </c>
      <c r="C13" s="4"/>
      <c r="D13" s="4"/>
      <c r="E13" s="4">
        <f t="shared" si="1"/>
        <v>0</v>
      </c>
      <c r="F13" s="4"/>
      <c r="G13" s="4"/>
      <c r="H13" s="4">
        <f t="shared" si="2"/>
        <v>0</v>
      </c>
      <c r="I13" s="4"/>
      <c r="J13" s="4"/>
      <c r="K13" s="4">
        <f t="shared" si="3"/>
        <v>0</v>
      </c>
      <c r="L13" s="4"/>
      <c r="M13" s="4"/>
      <c r="N13" s="4">
        <f t="shared" si="4"/>
        <v>0</v>
      </c>
      <c r="O13" s="4"/>
      <c r="P13" s="4"/>
      <c r="Q13" s="4">
        <f t="shared" si="5"/>
        <v>0</v>
      </c>
      <c r="R13" s="3"/>
      <c r="S13" s="3"/>
      <c r="T13" s="4">
        <f t="shared" si="0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/>
      <c r="AC13" s="4">
        <f t="shared" si="8"/>
        <v>0</v>
      </c>
      <c r="AD13" s="3"/>
      <c r="AE13" s="4"/>
      <c r="AF13" s="4">
        <f t="shared" si="9"/>
        <v>0</v>
      </c>
      <c r="AG13" s="3"/>
      <c r="AH13" s="4"/>
      <c r="AI13" s="4">
        <f t="shared" si="10"/>
        <v>0</v>
      </c>
      <c r="AJ13" s="3"/>
      <c r="AK13" s="3"/>
      <c r="AL13" s="4">
        <f t="shared" si="11"/>
        <v>0</v>
      </c>
      <c r="AM13" s="4">
        <f t="shared" si="12"/>
        <v>0</v>
      </c>
      <c r="AN13" s="4">
        <f t="shared" si="13"/>
        <v>0</v>
      </c>
      <c r="AO13" s="4">
        <f t="shared" si="14"/>
        <v>0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1"/>
        <v>0</v>
      </c>
      <c r="F14" s="4"/>
      <c r="G14" s="4">
        <f>10832.88</f>
        <v>10832.88</v>
      </c>
      <c r="H14" s="4">
        <f t="shared" si="2"/>
        <v>10832.88</v>
      </c>
      <c r="I14" s="4"/>
      <c r="J14" s="4">
        <f>20939.98</f>
        <v>20939.98</v>
      </c>
      <c r="K14" s="4">
        <f t="shared" si="3"/>
        <v>20939.98</v>
      </c>
      <c r="L14" s="4"/>
      <c r="M14" s="4">
        <f>16863.84</f>
        <v>16863.84</v>
      </c>
      <c r="N14" s="4">
        <f t="shared" si="4"/>
        <v>16863.84</v>
      </c>
      <c r="O14" s="4"/>
      <c r="P14" s="3">
        <v>8756.4</v>
      </c>
      <c r="Q14" s="4">
        <f t="shared" si="5"/>
        <v>8756.4</v>
      </c>
      <c r="R14" s="3"/>
      <c r="S14" s="3">
        <v>9356.4</v>
      </c>
      <c r="T14" s="4">
        <f t="shared" si="0"/>
        <v>9356.4</v>
      </c>
      <c r="U14" s="3"/>
      <c r="V14" s="3">
        <f>12014.56</f>
        <v>12014.56</v>
      </c>
      <c r="W14" s="4">
        <f t="shared" si="6"/>
        <v>12014.56</v>
      </c>
      <c r="X14" s="3"/>
      <c r="Y14" s="4">
        <f>24723.8</f>
        <v>24723.8</v>
      </c>
      <c r="Z14" s="4">
        <f t="shared" si="7"/>
        <v>24723.8</v>
      </c>
      <c r="AA14" s="3"/>
      <c r="AB14" s="3">
        <f>151817.42</f>
        <v>151817.42000000001</v>
      </c>
      <c r="AC14" s="4">
        <f t="shared" si="8"/>
        <v>151817.42000000001</v>
      </c>
      <c r="AD14" s="3"/>
      <c r="AE14" s="4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255305.28</v>
      </c>
      <c r="AO14" s="4">
        <f t="shared" si="14"/>
        <v>255305.28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1"/>
        <v>0</v>
      </c>
      <c r="F15" s="4"/>
      <c r="G15" s="4"/>
      <c r="H15" s="4">
        <f t="shared" si="2"/>
        <v>0</v>
      </c>
      <c r="I15" s="4"/>
      <c r="J15" s="4"/>
      <c r="K15" s="4">
        <f t="shared" si="3"/>
        <v>0</v>
      </c>
      <c r="L15" s="4"/>
      <c r="M15" s="4"/>
      <c r="N15" s="4">
        <f t="shared" si="4"/>
        <v>0</v>
      </c>
      <c r="O15" s="4"/>
      <c r="P15" s="3"/>
      <c r="Q15" s="4">
        <f t="shared" si="5"/>
        <v>0</v>
      </c>
      <c r="R15" s="3"/>
      <c r="S15" s="3"/>
      <c r="T15" s="4">
        <f t="shared" si="0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>
        <v>1900</v>
      </c>
      <c r="AC15" s="4">
        <f t="shared" si="8"/>
        <v>1900</v>
      </c>
      <c r="AD15" s="3"/>
      <c r="AE15" s="3"/>
      <c r="AF15" s="4">
        <f t="shared" si="9"/>
        <v>0</v>
      </c>
      <c r="AG15" s="3"/>
      <c r="AH15" s="4"/>
      <c r="AI15" s="4">
        <f t="shared" si="10"/>
        <v>0</v>
      </c>
      <c r="AJ15" s="3"/>
      <c r="AK15" s="4"/>
      <c r="AL15" s="4">
        <f t="shared" si="11"/>
        <v>0</v>
      </c>
      <c r="AM15" s="4">
        <f t="shared" si="12"/>
        <v>0</v>
      </c>
      <c r="AN15" s="4">
        <f t="shared" si="13"/>
        <v>1900</v>
      </c>
      <c r="AO15" s="4">
        <f t="shared" si="14"/>
        <v>1900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1"/>
        <v>0</v>
      </c>
      <c r="F16" s="4"/>
      <c r="G16" s="4"/>
      <c r="H16" s="4">
        <f t="shared" si="2"/>
        <v>0</v>
      </c>
      <c r="I16" s="4"/>
      <c r="J16" s="4"/>
      <c r="K16" s="4">
        <f t="shared" si="3"/>
        <v>0</v>
      </c>
      <c r="L16" s="4"/>
      <c r="M16" s="4"/>
      <c r="N16" s="4">
        <f t="shared" si="4"/>
        <v>0</v>
      </c>
      <c r="O16" s="4"/>
      <c r="P16" s="3"/>
      <c r="Q16" s="4">
        <f t="shared" si="5"/>
        <v>0</v>
      </c>
      <c r="R16" s="3"/>
      <c r="S16" s="3"/>
      <c r="T16" s="4">
        <f t="shared" si="0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1"/>
        <v>0</v>
      </c>
      <c r="F17" s="4"/>
      <c r="G17" s="4">
        <f>408366.61</f>
        <v>408366.61</v>
      </c>
      <c r="H17" s="4">
        <f t="shared" si="2"/>
        <v>408366.61</v>
      </c>
      <c r="I17" s="4"/>
      <c r="J17" s="4">
        <v>645904.25</v>
      </c>
      <c r="K17" s="4">
        <f t="shared" si="3"/>
        <v>645904.25</v>
      </c>
      <c r="L17" s="4"/>
      <c r="M17" s="4">
        <v>217632.39</v>
      </c>
      <c r="N17" s="4">
        <f t="shared" si="4"/>
        <v>217632.39</v>
      </c>
      <c r="O17" s="4"/>
      <c r="P17" s="3"/>
      <c r="Q17" s="4">
        <f t="shared" si="5"/>
        <v>0</v>
      </c>
      <c r="R17" s="3"/>
      <c r="S17" s="3"/>
      <c r="T17" s="4">
        <f t="shared" si="0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1271903.25</v>
      </c>
      <c r="AO17" s="4">
        <f t="shared" si="14"/>
        <v>1271903.25</v>
      </c>
    </row>
    <row r="18" spans="1:41" ht="20.100000000000001" customHeight="1">
      <c r="A18" s="3">
        <v>2272</v>
      </c>
      <c r="B18" s="3" t="s">
        <v>9</v>
      </c>
      <c r="C18" s="4"/>
      <c r="D18" s="4">
        <f>2046.24+352.8</f>
        <v>2399.04</v>
      </c>
      <c r="E18" s="4">
        <f t="shared" si="1"/>
        <v>2399.04</v>
      </c>
      <c r="F18" s="4"/>
      <c r="G18" s="4">
        <f>6068.16+493.92</f>
        <v>6562.08</v>
      </c>
      <c r="H18" s="4">
        <f t="shared" si="2"/>
        <v>6562.08</v>
      </c>
      <c r="I18" s="4"/>
      <c r="J18" s="4">
        <f>5282.67+705.6</f>
        <v>5988.27</v>
      </c>
      <c r="K18" s="4">
        <f t="shared" si="3"/>
        <v>5988.27</v>
      </c>
      <c r="L18" s="4"/>
      <c r="M18" s="4">
        <f>5292+282.24</f>
        <v>5574.24</v>
      </c>
      <c r="N18" s="4">
        <f t="shared" si="4"/>
        <v>5574.24</v>
      </c>
      <c r="O18" s="4"/>
      <c r="P18" s="3">
        <f>6068.16+141.12</f>
        <v>6209.28</v>
      </c>
      <c r="Q18" s="4">
        <f t="shared" si="5"/>
        <v>6209.28</v>
      </c>
      <c r="R18" s="3"/>
      <c r="S18" s="3">
        <f>5097.36+219.59</f>
        <v>5316.95</v>
      </c>
      <c r="T18" s="4">
        <f t="shared" si="0"/>
        <v>5316.95</v>
      </c>
      <c r="U18" s="3"/>
      <c r="V18" s="3">
        <f>1392.93+156.94</f>
        <v>1549.8700000000001</v>
      </c>
      <c r="W18" s="4">
        <f t="shared" si="6"/>
        <v>1549.8700000000001</v>
      </c>
      <c r="X18" s="3"/>
      <c r="Y18" s="3">
        <f>863.15+313.87</f>
        <v>1177.02</v>
      </c>
      <c r="Z18" s="4">
        <f t="shared" si="7"/>
        <v>1177.02</v>
      </c>
      <c r="AA18" s="3"/>
      <c r="AB18" s="3">
        <f>5178.89+2667.91</f>
        <v>7846.8</v>
      </c>
      <c r="AC18" s="4">
        <f t="shared" si="8"/>
        <v>7846.8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42623.549999999996</v>
      </c>
      <c r="AO18" s="4">
        <f t="shared" si="14"/>
        <v>42623.549999999996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1"/>
        <v>0</v>
      </c>
      <c r="F19" s="4"/>
      <c r="G19" s="4">
        <v>111030.15</v>
      </c>
      <c r="H19" s="4">
        <f t="shared" si="2"/>
        <v>111030.15</v>
      </c>
      <c r="I19" s="4"/>
      <c r="J19" s="4">
        <v>55457.06</v>
      </c>
      <c r="K19" s="4">
        <f t="shared" si="3"/>
        <v>55457.06</v>
      </c>
      <c r="L19" s="4"/>
      <c r="M19" s="4">
        <v>78696.97</v>
      </c>
      <c r="N19" s="4">
        <f t="shared" si="4"/>
        <v>78696.97</v>
      </c>
      <c r="O19" s="4"/>
      <c r="P19" s="3">
        <v>69466.31</v>
      </c>
      <c r="Q19" s="4">
        <f t="shared" si="5"/>
        <v>69466.31</v>
      </c>
      <c r="R19" s="3"/>
      <c r="S19" s="3">
        <v>40717.5</v>
      </c>
      <c r="T19" s="4">
        <f t="shared" si="0"/>
        <v>40717.5</v>
      </c>
      <c r="U19" s="3"/>
      <c r="V19" s="3">
        <v>10433.36</v>
      </c>
      <c r="W19" s="4">
        <f t="shared" si="6"/>
        <v>10433.36</v>
      </c>
      <c r="X19" s="3"/>
      <c r="Y19" s="3">
        <v>7895.44</v>
      </c>
      <c r="Z19" s="4">
        <f t="shared" si="7"/>
        <v>7895.44</v>
      </c>
      <c r="AA19" s="3"/>
      <c r="AB19" s="3">
        <v>12394.2</v>
      </c>
      <c r="AC19" s="4">
        <f t="shared" si="8"/>
        <v>12394.2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386090.99</v>
      </c>
      <c r="AO19" s="4">
        <f t="shared" si="14"/>
        <v>386090.99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1"/>
        <v>0</v>
      </c>
      <c r="F20" s="4"/>
      <c r="G20" s="4"/>
      <c r="H20" s="4">
        <f t="shared" si="2"/>
        <v>0</v>
      </c>
      <c r="I20" s="4"/>
      <c r="J20" s="4"/>
      <c r="K20" s="4">
        <f t="shared" si="3"/>
        <v>0</v>
      </c>
      <c r="L20" s="4"/>
      <c r="M20" s="4"/>
      <c r="N20" s="4">
        <f t="shared" si="4"/>
        <v>0</v>
      </c>
      <c r="O20" s="4"/>
      <c r="P20" s="3"/>
      <c r="Q20" s="4">
        <f t="shared" si="5"/>
        <v>0</v>
      </c>
      <c r="R20" s="3"/>
      <c r="S20" s="3"/>
      <c r="T20" s="4">
        <f t="shared" si="0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/>
      <c r="E21" s="4">
        <f t="shared" si="1"/>
        <v>0</v>
      </c>
      <c r="F21" s="4"/>
      <c r="G21" s="4">
        <v>524.04</v>
      </c>
      <c r="H21" s="4">
        <f t="shared" si="2"/>
        <v>524.04</v>
      </c>
      <c r="I21" s="4"/>
      <c r="J21" s="4">
        <v>549.25</v>
      </c>
      <c r="K21" s="4">
        <f t="shared" si="3"/>
        <v>549.25</v>
      </c>
      <c r="L21" s="4"/>
      <c r="M21" s="4">
        <v>524.04</v>
      </c>
      <c r="N21" s="4">
        <f t="shared" si="4"/>
        <v>524.04</v>
      </c>
      <c r="O21" s="4"/>
      <c r="P21" s="3">
        <v>524.04</v>
      </c>
      <c r="Q21" s="4">
        <f t="shared" si="5"/>
        <v>524.04</v>
      </c>
      <c r="R21" s="3"/>
      <c r="S21" s="3">
        <v>549.25</v>
      </c>
      <c r="T21" s="4">
        <f t="shared" si="0"/>
        <v>549.25</v>
      </c>
      <c r="U21" s="3"/>
      <c r="V21" s="3">
        <v>524.04</v>
      </c>
      <c r="W21" s="4">
        <f t="shared" si="6"/>
        <v>524.04</v>
      </c>
      <c r="X21" s="3"/>
      <c r="Y21" s="3">
        <v>1145.43</v>
      </c>
      <c r="Z21" s="4">
        <f t="shared" si="7"/>
        <v>1145.43</v>
      </c>
      <c r="AA21" s="3"/>
      <c r="AB21" s="3">
        <v>788.83</v>
      </c>
      <c r="AC21" s="4">
        <f t="shared" si="8"/>
        <v>788.83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5128.92</v>
      </c>
      <c r="AO21" s="4">
        <f t="shared" si="14"/>
        <v>5128.92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1"/>
        <v>0</v>
      </c>
      <c r="F22" s="4"/>
      <c r="G22" s="4"/>
      <c r="H22" s="4">
        <f t="shared" si="2"/>
        <v>0</v>
      </c>
      <c r="I22" s="4"/>
      <c r="J22" s="4"/>
      <c r="K22" s="4">
        <f t="shared" si="3"/>
        <v>0</v>
      </c>
      <c r="L22" s="4"/>
      <c r="M22" s="4"/>
      <c r="N22" s="4">
        <f t="shared" si="4"/>
        <v>0</v>
      </c>
      <c r="O22" s="4"/>
      <c r="P22" s="3"/>
      <c r="Q22" s="4">
        <f t="shared" si="5"/>
        <v>0</v>
      </c>
      <c r="R22" s="3"/>
      <c r="S22" s="3">
        <v>600</v>
      </c>
      <c r="T22" s="4">
        <f t="shared" si="0"/>
        <v>600</v>
      </c>
      <c r="U22" s="3"/>
      <c r="V22" s="3"/>
      <c r="W22" s="4">
        <f t="shared" si="6"/>
        <v>0</v>
      </c>
      <c r="X22" s="3"/>
      <c r="Y22" s="3">
        <v>1020</v>
      </c>
      <c r="Z22" s="4">
        <f t="shared" si="7"/>
        <v>1020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1620</v>
      </c>
      <c r="AO22" s="4">
        <f t="shared" si="14"/>
        <v>1620</v>
      </c>
    </row>
    <row r="23" spans="1:41" ht="22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6.25" customHeight="1">
      <c r="A24" s="3">
        <v>2800</v>
      </c>
      <c r="B24" s="3" t="s">
        <v>44</v>
      </c>
      <c r="C24" s="4"/>
      <c r="D24" s="4"/>
      <c r="E24" s="4">
        <f t="shared" si="1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2"/>
        <v>0</v>
      </c>
      <c r="I24" s="4">
        <f t="shared" ref="I24" si="17">H24+G24</f>
        <v>0</v>
      </c>
      <c r="J24" s="4"/>
      <c r="K24" s="4">
        <f t="shared" si="3"/>
        <v>0</v>
      </c>
      <c r="L24" s="4"/>
      <c r="M24" s="4"/>
      <c r="N24" s="4">
        <f t="shared" si="4"/>
        <v>0</v>
      </c>
      <c r="O24" s="4">
        <f t="shared" ref="O24" si="18">N24+M24</f>
        <v>0</v>
      </c>
      <c r="P24" s="4">
        <f t="shared" ref="P24" si="19">O24+N24</f>
        <v>0</v>
      </c>
      <c r="Q24" s="4">
        <f t="shared" si="5"/>
        <v>0</v>
      </c>
      <c r="R24" s="4">
        <f t="shared" ref="R24" si="20">Q24+P24</f>
        <v>0</v>
      </c>
      <c r="S24" s="4">
        <f t="shared" ref="S24" si="21">R24+Q24</f>
        <v>0</v>
      </c>
      <c r="T24" s="4">
        <f t="shared" si="0"/>
        <v>0</v>
      </c>
      <c r="U24" s="4">
        <f t="shared" ref="U24" si="22">T24+S24</f>
        <v>0</v>
      </c>
      <c r="V24" s="4">
        <f t="shared" ref="V24" si="23">U24+T24</f>
        <v>0</v>
      </c>
      <c r="W24" s="4">
        <f t="shared" si="6"/>
        <v>0</v>
      </c>
      <c r="X24" s="4">
        <f t="shared" ref="X24" si="24">W24+V24</f>
        <v>0</v>
      </c>
      <c r="Y24" s="4">
        <v>-12723.72</v>
      </c>
      <c r="Z24" s="4">
        <f t="shared" si="7"/>
        <v>-12723.72</v>
      </c>
      <c r="AA24" s="4">
        <f t="shared" ref="AA24" si="25">Z24+Y24</f>
        <v>-25447.439999999999</v>
      </c>
      <c r="AB24" s="4">
        <f t="shared" ref="AB24" si="26">AA24+Z24</f>
        <v>-38171.159999999996</v>
      </c>
      <c r="AC24" s="4">
        <f t="shared" si="8"/>
        <v>-63618.599999999991</v>
      </c>
      <c r="AD24" s="4">
        <f t="shared" ref="AD24" si="27">AC24+AB24</f>
        <v>-101789.75999999998</v>
      </c>
      <c r="AE24" s="4">
        <f t="shared" ref="AE24" si="28">AD24+AC24</f>
        <v>-165408.35999999999</v>
      </c>
      <c r="AF24" s="4">
        <f t="shared" ref="AF24" si="29">AE24+AD24</f>
        <v>-267198.12</v>
      </c>
      <c r="AG24" s="4">
        <f t="shared" ref="AG24" si="30">AF24+AE24</f>
        <v>-432606.48</v>
      </c>
      <c r="AH24" s="4">
        <f t="shared" ref="AH24" si="31">AG24+AF24</f>
        <v>-699804.6</v>
      </c>
      <c r="AI24" s="4">
        <f t="shared" si="10"/>
        <v>-1132411.08</v>
      </c>
      <c r="AJ24" s="4">
        <f t="shared" ref="AJ24" si="32">AI24+AH24</f>
        <v>-1832215.6800000002</v>
      </c>
      <c r="AK24" s="4">
        <f t="shared" ref="AK24" si="33">AJ24+AI24</f>
        <v>-2964626.7600000002</v>
      </c>
      <c r="AL24" s="4">
        <f t="shared" si="11"/>
        <v>-4796842.4400000004</v>
      </c>
      <c r="AM24" s="4">
        <f t="shared" ref="AM24" si="34">AL24+AK24</f>
        <v>-7761469.2000000011</v>
      </c>
      <c r="AN24" s="4">
        <f t="shared" si="13"/>
        <v>-3880734.6000000006</v>
      </c>
      <c r="AO24" s="4">
        <f t="shared" si="14"/>
        <v>-6272793.96</v>
      </c>
    </row>
    <row r="25" spans="1:41" ht="27" customHeight="1">
      <c r="A25" s="3">
        <v>3110</v>
      </c>
      <c r="B25" s="5" t="s">
        <v>15</v>
      </c>
      <c r="C25" s="4"/>
      <c r="D25" s="4"/>
      <c r="E25" s="4">
        <f t="shared" si="1"/>
        <v>0</v>
      </c>
      <c r="F25" s="4"/>
      <c r="G25" s="4"/>
      <c r="H25" s="4">
        <f t="shared" si="2"/>
        <v>0</v>
      </c>
      <c r="I25" s="4"/>
      <c r="J25" s="4"/>
      <c r="K25" s="4">
        <f t="shared" si="3"/>
        <v>0</v>
      </c>
      <c r="L25" s="4"/>
      <c r="M25" s="4"/>
      <c r="N25" s="4">
        <f t="shared" si="4"/>
        <v>0</v>
      </c>
      <c r="O25" s="4"/>
      <c r="P25" s="3"/>
      <c r="Q25" s="4">
        <f t="shared" si="5"/>
        <v>0</v>
      </c>
      <c r="R25" s="3"/>
      <c r="S25" s="3"/>
      <c r="T25" s="4">
        <f t="shared" si="0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1"/>
        <v>0</v>
      </c>
      <c r="F26" s="4"/>
      <c r="G26" s="4"/>
      <c r="H26" s="4">
        <f t="shared" si="2"/>
        <v>0</v>
      </c>
      <c r="I26" s="4"/>
      <c r="J26" s="4"/>
      <c r="K26" s="4">
        <f t="shared" si="3"/>
        <v>0</v>
      </c>
      <c r="L26" s="4"/>
      <c r="M26" s="4"/>
      <c r="N26" s="4">
        <f t="shared" si="4"/>
        <v>0</v>
      </c>
      <c r="O26" s="4"/>
      <c r="P26" s="3"/>
      <c r="Q26" s="4">
        <f t="shared" si="5"/>
        <v>0</v>
      </c>
      <c r="R26" s="3"/>
      <c r="S26" s="3"/>
      <c r="T26" s="4">
        <f t="shared" si="0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1"/>
        <v>0</v>
      </c>
      <c r="F27" s="4"/>
      <c r="G27" s="4"/>
      <c r="H27" s="4">
        <f t="shared" si="2"/>
        <v>0</v>
      </c>
      <c r="I27" s="4"/>
      <c r="J27" s="4"/>
      <c r="K27" s="4">
        <f t="shared" si="3"/>
        <v>0</v>
      </c>
      <c r="L27" s="4"/>
      <c r="M27" s="4"/>
      <c r="N27" s="4">
        <f t="shared" si="4"/>
        <v>0</v>
      </c>
      <c r="O27" s="8"/>
      <c r="P27" s="3"/>
      <c r="Q27" s="4">
        <f t="shared" si="5"/>
        <v>0</v>
      </c>
      <c r="R27" s="3"/>
      <c r="S27" s="3"/>
      <c r="T27" s="4">
        <f t="shared" si="0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1"/>
        <v>0</v>
      </c>
      <c r="F28" s="4"/>
      <c r="G28" s="4"/>
      <c r="H28" s="4">
        <f t="shared" si="2"/>
        <v>0</v>
      </c>
      <c r="I28" s="4"/>
      <c r="J28" s="4"/>
      <c r="K28" s="4">
        <f t="shared" si="3"/>
        <v>0</v>
      </c>
      <c r="L28" s="4"/>
      <c r="M28" s="4"/>
      <c r="N28" s="4">
        <f t="shared" si="4"/>
        <v>0</v>
      </c>
      <c r="O28" s="8"/>
      <c r="P28" s="3"/>
      <c r="Q28" s="4">
        <f t="shared" si="5"/>
        <v>0</v>
      </c>
      <c r="R28" s="3"/>
      <c r="S28" s="3"/>
      <c r="T28" s="4">
        <f t="shared" si="0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1"/>
        <v>0</v>
      </c>
      <c r="F29" s="4"/>
      <c r="G29" s="4">
        <v>1435</v>
      </c>
      <c r="H29" s="4">
        <f t="shared" si="2"/>
        <v>1435</v>
      </c>
      <c r="I29" s="4"/>
      <c r="J29" s="4">
        <v>1435</v>
      </c>
      <c r="K29" s="4">
        <f t="shared" si="3"/>
        <v>1435</v>
      </c>
      <c r="L29" s="4"/>
      <c r="M29" s="4">
        <v>2360</v>
      </c>
      <c r="N29" s="4">
        <f t="shared" si="4"/>
        <v>2360</v>
      </c>
      <c r="O29" s="8"/>
      <c r="P29" s="3">
        <v>1435</v>
      </c>
      <c r="Q29" s="4">
        <f t="shared" si="5"/>
        <v>1435</v>
      </c>
      <c r="R29" s="3"/>
      <c r="S29" s="3">
        <v>1435</v>
      </c>
      <c r="T29" s="4">
        <f t="shared" si="0"/>
        <v>1435</v>
      </c>
      <c r="U29" s="3"/>
      <c r="V29" s="3">
        <v>2360</v>
      </c>
      <c r="W29" s="4">
        <f t="shared" si="6"/>
        <v>2360</v>
      </c>
      <c r="X29" s="3"/>
      <c r="Y29" s="3">
        <v>1435</v>
      </c>
      <c r="Z29" s="4">
        <f t="shared" si="7"/>
        <v>1435</v>
      </c>
      <c r="AA29" s="3"/>
      <c r="AB29" s="4">
        <v>1435</v>
      </c>
      <c r="AC29" s="4">
        <f t="shared" si="8"/>
        <v>1435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13330</v>
      </c>
      <c r="AO29" s="4">
        <f t="shared" si="14"/>
        <v>13330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35">SUM(D9:D28)</f>
        <v>262722.89</v>
      </c>
      <c r="E30" s="8">
        <f t="shared" si="35"/>
        <v>262722.89</v>
      </c>
      <c r="F30" s="8">
        <f t="shared" si="35"/>
        <v>0</v>
      </c>
      <c r="G30" s="8">
        <f>SUM(G9:G29)</f>
        <v>794258.28</v>
      </c>
      <c r="H30" s="8">
        <f>SUM(H9:H29)</f>
        <v>794258.28</v>
      </c>
      <c r="I30" s="8">
        <f t="shared" si="35"/>
        <v>0</v>
      </c>
      <c r="J30" s="8">
        <f t="shared" si="35"/>
        <v>1059077.3900000001</v>
      </c>
      <c r="K30" s="8">
        <f>J30+I30</f>
        <v>1059077.3900000001</v>
      </c>
      <c r="L30" s="8">
        <f t="shared" si="35"/>
        <v>0</v>
      </c>
      <c r="M30" s="8">
        <f t="shared" si="35"/>
        <v>641218.89</v>
      </c>
      <c r="N30" s="8">
        <f>M30+L30</f>
        <v>641218.89</v>
      </c>
      <c r="O30" s="8">
        <f t="shared" si="35"/>
        <v>0</v>
      </c>
      <c r="P30" s="8">
        <f t="shared" si="35"/>
        <v>407449.03</v>
      </c>
      <c r="Q30" s="8">
        <f>P30+O30</f>
        <v>407449.03</v>
      </c>
      <c r="R30" s="8">
        <f t="shared" si="35"/>
        <v>0</v>
      </c>
      <c r="S30" s="8">
        <f t="shared" si="35"/>
        <v>367882.57000000007</v>
      </c>
      <c r="T30" s="8">
        <f>S30+R30</f>
        <v>367882.57000000007</v>
      </c>
      <c r="U30" s="8">
        <f t="shared" si="35"/>
        <v>0</v>
      </c>
      <c r="V30" s="8">
        <f t="shared" si="35"/>
        <v>350313.72</v>
      </c>
      <c r="W30" s="8">
        <f>V30+U30</f>
        <v>350313.72</v>
      </c>
      <c r="X30" s="8">
        <f t="shared" si="35"/>
        <v>0</v>
      </c>
      <c r="Y30" s="8">
        <f t="shared" si="35"/>
        <v>259568.08</v>
      </c>
      <c r="Z30" s="8">
        <f t="shared" si="7"/>
        <v>259568.08</v>
      </c>
      <c r="AA30" s="8">
        <f t="shared" si="35"/>
        <v>-25447.439999999999</v>
      </c>
      <c r="AB30" s="8">
        <f t="shared" si="35"/>
        <v>392943.41000000009</v>
      </c>
      <c r="AC30" s="8">
        <f>AB30+AA30</f>
        <v>367495.97000000009</v>
      </c>
      <c r="AD30" s="8">
        <f t="shared" si="35"/>
        <v>-101789.75999999998</v>
      </c>
      <c r="AE30" s="8">
        <f t="shared" si="35"/>
        <v>-165408.35999999999</v>
      </c>
      <c r="AF30" s="8">
        <f>AE30+AD30</f>
        <v>-267198.12</v>
      </c>
      <c r="AG30" s="8">
        <f t="shared" si="35"/>
        <v>-432606.48</v>
      </c>
      <c r="AH30" s="8">
        <f t="shared" si="35"/>
        <v>-699804.6</v>
      </c>
      <c r="AI30" s="8">
        <f>AH30+AG30</f>
        <v>-1132411.08</v>
      </c>
      <c r="AJ30" s="8">
        <f t="shared" si="35"/>
        <v>-1832215.6800000002</v>
      </c>
      <c r="AK30" s="8">
        <f t="shared" si="35"/>
        <v>-2964626.7600000002</v>
      </c>
      <c r="AL30" s="8">
        <f>AK30+AJ30</f>
        <v>-4796842.4400000004</v>
      </c>
      <c r="AM30" s="8">
        <f t="shared" si="35"/>
        <v>-7761469.2000000011</v>
      </c>
      <c r="AN30" s="8">
        <f t="shared" si="35"/>
        <v>704159.53999999911</v>
      </c>
      <c r="AO30" s="8">
        <f t="shared" si="35"/>
        <v>-1687899.8200000003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P15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4" width="11.88671875" customWidth="1"/>
    <col min="5" max="5" width="12" customWidth="1"/>
    <col min="6" max="6" width="11.6640625" customWidth="1"/>
    <col min="7" max="7" width="11.5546875" customWidth="1"/>
    <col min="8" max="8" width="11.33203125" customWidth="1"/>
    <col min="9" max="9" width="11.109375" customWidth="1"/>
    <col min="10" max="10" width="11.6640625" customWidth="1"/>
    <col min="11" max="11" width="10.44140625" customWidth="1"/>
    <col min="12" max="12" width="12.44140625" customWidth="1"/>
    <col min="13" max="13" width="10.6640625" customWidth="1"/>
    <col min="14" max="14" width="10.88671875" customWidth="1"/>
    <col min="15" max="15" width="13.5546875" customWidth="1"/>
    <col min="16" max="16" width="11.109375" customWidth="1"/>
    <col min="17" max="17" width="10.6640625" customWidth="1"/>
    <col min="18" max="18" width="11.44140625" customWidth="1"/>
    <col min="19" max="19" width="11.33203125" customWidth="1"/>
    <col min="20" max="20" width="11.88671875" customWidth="1"/>
    <col min="21" max="21" width="12.33203125" customWidth="1"/>
    <col min="22" max="22" width="10.6640625" customWidth="1"/>
    <col min="23" max="23" width="10.5546875" customWidth="1"/>
    <col min="24" max="24" width="11.44140625" customWidth="1"/>
    <col min="25" max="26" width="11" customWidth="1"/>
    <col min="27" max="27" width="11.44140625" customWidth="1"/>
    <col min="28" max="28" width="11.5546875" customWidth="1"/>
    <col min="29" max="29" width="10.88671875" customWidth="1"/>
    <col min="30" max="30" width="11.44140625" customWidth="1"/>
    <col min="31" max="31" width="10.88671875" customWidth="1"/>
    <col min="32" max="32" width="10.5546875" customWidth="1"/>
    <col min="33" max="33" width="11.33203125" customWidth="1"/>
    <col min="34" max="34" width="11" customWidth="1"/>
    <col min="35" max="35" width="11.109375" customWidth="1"/>
    <col min="36" max="36" width="11.88671875" customWidth="1"/>
    <col min="37" max="37" width="10.44140625" customWidth="1"/>
    <col min="38" max="38" width="10.5546875" customWidth="1"/>
    <col min="39" max="39" width="12.109375" customWidth="1"/>
    <col min="40" max="40" width="12.44140625" customWidth="1"/>
    <col min="41" max="41" width="11.88671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194992.54</v>
      </c>
      <c r="E9" s="4">
        <f>D9+C9</f>
        <v>194992.54</v>
      </c>
      <c r="F9" s="4"/>
      <c r="G9" s="4">
        <v>213312.51</v>
      </c>
      <c r="H9" s="4">
        <f>G9+F9</f>
        <v>213312.51</v>
      </c>
      <c r="I9" s="4"/>
      <c r="J9" s="4">
        <v>200485.61</v>
      </c>
      <c r="K9" s="4">
        <f>J9+I9</f>
        <v>200485.61</v>
      </c>
      <c r="L9" s="4"/>
      <c r="M9" s="4">
        <v>207960.32000000001</v>
      </c>
      <c r="N9" s="4">
        <f>M9+L9</f>
        <v>207960.32000000001</v>
      </c>
      <c r="O9" s="4"/>
      <c r="P9" s="3">
        <v>203285.12</v>
      </c>
      <c r="Q9" s="4">
        <f>P9+O9</f>
        <v>203285.12</v>
      </c>
      <c r="R9" s="3"/>
      <c r="S9" s="3">
        <v>250945.69</v>
      </c>
      <c r="T9" s="4">
        <f>S9+R9</f>
        <v>250945.69</v>
      </c>
      <c r="U9" s="3"/>
      <c r="V9" s="3">
        <v>176007.96</v>
      </c>
      <c r="W9" s="4">
        <f>V9+U9</f>
        <v>176007.96</v>
      </c>
      <c r="X9" s="3"/>
      <c r="Y9" s="3">
        <v>210309.16</v>
      </c>
      <c r="Z9" s="4">
        <f>Y9+X9</f>
        <v>210309.16</v>
      </c>
      <c r="AA9" s="3"/>
      <c r="AB9" s="3">
        <v>228553.93</v>
      </c>
      <c r="AC9" s="4">
        <f>AB9+AA9</f>
        <v>228553.93</v>
      </c>
      <c r="AD9" s="3"/>
      <c r="AE9" s="3"/>
      <c r="AF9" s="4">
        <f>AE9+AD9</f>
        <v>0</v>
      </c>
      <c r="AG9" s="3"/>
      <c r="AH9" s="3"/>
      <c r="AI9" s="4">
        <f>AH9+AG9</f>
        <v>0</v>
      </c>
      <c r="AJ9" s="4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1885852.84</v>
      </c>
      <c r="AO9" s="4">
        <f>AL9+AI9+AF9+AC9+Z9+W9+T9+Q9+N9+K9+H9+E9</f>
        <v>1885852.84</v>
      </c>
    </row>
    <row r="10" spans="1:41" ht="20.100000000000001" customHeight="1">
      <c r="A10" s="3">
        <v>2120</v>
      </c>
      <c r="B10" s="3" t="s">
        <v>1</v>
      </c>
      <c r="C10" s="4"/>
      <c r="D10" s="4">
        <v>40948.980000000003</v>
      </c>
      <c r="E10" s="4">
        <f t="shared" ref="E10:E29" si="0">D10+C10</f>
        <v>40948.980000000003</v>
      </c>
      <c r="F10" s="4"/>
      <c r="G10" s="4">
        <v>44979.38</v>
      </c>
      <c r="H10" s="4">
        <f t="shared" ref="H10:H29" si="1">G10+F10</f>
        <v>44979.38</v>
      </c>
      <c r="I10" s="4"/>
      <c r="J10" s="4">
        <v>44020.82</v>
      </c>
      <c r="K10" s="4">
        <f t="shared" ref="K10:K29" si="2">J10+I10</f>
        <v>44020.82</v>
      </c>
      <c r="L10" s="4"/>
      <c r="M10" s="4">
        <v>45412.58</v>
      </c>
      <c r="N10" s="4">
        <f t="shared" ref="N10:N29" si="3">M10+L10</f>
        <v>45412.58</v>
      </c>
      <c r="O10" s="4"/>
      <c r="P10" s="3">
        <v>44276.84</v>
      </c>
      <c r="Q10" s="4">
        <f t="shared" ref="Q10:Q29" si="4">P10+O10</f>
        <v>44276.84</v>
      </c>
      <c r="R10" s="3"/>
      <c r="S10" s="3">
        <v>53941.73</v>
      </c>
      <c r="T10" s="4">
        <f t="shared" ref="T10:T29" si="5">S10+R10</f>
        <v>53941.73</v>
      </c>
      <c r="U10" s="3"/>
      <c r="V10" s="3">
        <v>38835.410000000003</v>
      </c>
      <c r="W10" s="4">
        <f t="shared" ref="W10:W29" si="6">V10+U10</f>
        <v>38835.410000000003</v>
      </c>
      <c r="X10" s="3"/>
      <c r="Y10" s="3">
        <v>45536.17</v>
      </c>
      <c r="Z10" s="4">
        <f t="shared" ref="Z10:Z30" si="7">Y10+X10</f>
        <v>45536.17</v>
      </c>
      <c r="AA10" s="3"/>
      <c r="AB10" s="3">
        <v>47370.74</v>
      </c>
      <c r="AC10" s="4">
        <f t="shared" ref="AC10:AC29" si="8">AB10+AA10</f>
        <v>47370.74</v>
      </c>
      <c r="AD10" s="3"/>
      <c r="AE10" s="3"/>
      <c r="AF10" s="4">
        <f t="shared" ref="AF10:AF29" si="9">AE10+AD10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O29" si="13">AK10+AH10+AE10+AB10+Y10+V10+S10+P10+M10+J10+G10+D10</f>
        <v>405322.65</v>
      </c>
      <c r="AO10" s="4">
        <f t="shared" ref="AO10:AO29" si="14">AL10+AI10+AF10+AC10+Z10+W10+T10+Q10+N10+K10+H10+E10</f>
        <v>405322.65</v>
      </c>
    </row>
    <row r="11" spans="1:41" ht="20.100000000000001" customHeight="1">
      <c r="A11" s="3">
        <v>2210</v>
      </c>
      <c r="B11" s="3" t="s">
        <v>2</v>
      </c>
      <c r="C11" s="4"/>
      <c r="D11" s="4">
        <v>1403.18</v>
      </c>
      <c r="E11" s="4">
        <f t="shared" si="0"/>
        <v>1403.18</v>
      </c>
      <c r="F11" s="4"/>
      <c r="G11" s="4">
        <v>1464.76</v>
      </c>
      <c r="H11" s="4">
        <f t="shared" si="1"/>
        <v>1464.76</v>
      </c>
      <c r="I11" s="4"/>
      <c r="J11" s="4">
        <v>1349.44</v>
      </c>
      <c r="K11" s="4">
        <f t="shared" si="2"/>
        <v>1349.44</v>
      </c>
      <c r="L11" s="4"/>
      <c r="M11" s="4">
        <v>1176.46</v>
      </c>
      <c r="N11" s="4">
        <f t="shared" si="3"/>
        <v>1176.46</v>
      </c>
      <c r="O11" s="8"/>
      <c r="P11" s="3">
        <v>1176.46</v>
      </c>
      <c r="Q11" s="4">
        <f t="shared" si="4"/>
        <v>1176.46</v>
      </c>
      <c r="R11" s="3"/>
      <c r="S11" s="3">
        <v>812.85</v>
      </c>
      <c r="T11" s="4">
        <f t="shared" si="5"/>
        <v>812.85</v>
      </c>
      <c r="U11" s="3"/>
      <c r="V11" s="3"/>
      <c r="W11" s="4">
        <f t="shared" si="6"/>
        <v>0</v>
      </c>
      <c r="X11" s="3"/>
      <c r="Y11" s="3">
        <v>1583.79</v>
      </c>
      <c r="Z11" s="4">
        <f t="shared" si="7"/>
        <v>1583.79</v>
      </c>
      <c r="AA11" s="3"/>
      <c r="AB11" s="3">
        <v>2085.2800000000002</v>
      </c>
      <c r="AC11" s="4">
        <f t="shared" si="8"/>
        <v>2085.2800000000002</v>
      </c>
      <c r="AD11" s="3"/>
      <c r="AE11" s="4"/>
      <c r="AF11" s="4">
        <f t="shared" si="9"/>
        <v>0</v>
      </c>
      <c r="AG11" s="3"/>
      <c r="AH11" s="3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11052.220000000001</v>
      </c>
      <c r="AO11" s="4">
        <f t="shared" si="14"/>
        <v>11052.220000000001</v>
      </c>
    </row>
    <row r="12" spans="1:41" ht="20.100000000000001" customHeight="1">
      <c r="A12" s="3">
        <v>2220</v>
      </c>
      <c r="B12" s="3" t="s">
        <v>3</v>
      </c>
      <c r="C12" s="4"/>
      <c r="D12" s="4">
        <v>996.8</v>
      </c>
      <c r="E12" s="4">
        <f t="shared" si="0"/>
        <v>996.8</v>
      </c>
      <c r="F12" s="4"/>
      <c r="G12" s="4">
        <v>1864</v>
      </c>
      <c r="H12" s="4">
        <f t="shared" si="1"/>
        <v>1864</v>
      </c>
      <c r="I12" s="4"/>
      <c r="J12" s="4">
        <v>1864</v>
      </c>
      <c r="K12" s="4">
        <f t="shared" si="2"/>
        <v>1864</v>
      </c>
      <c r="L12" s="4"/>
      <c r="M12" s="4">
        <v>1650.9</v>
      </c>
      <c r="N12" s="4">
        <f t="shared" si="3"/>
        <v>1650.9</v>
      </c>
      <c r="O12" s="8"/>
      <c r="P12" s="3">
        <v>1475.25</v>
      </c>
      <c r="Q12" s="4">
        <f t="shared" si="4"/>
        <v>1475.25</v>
      </c>
      <c r="R12" s="3"/>
      <c r="S12" s="3">
        <v>2328.34</v>
      </c>
      <c r="T12" s="4">
        <f t="shared" si="5"/>
        <v>2328.34</v>
      </c>
      <c r="U12" s="3"/>
      <c r="V12" s="3"/>
      <c r="W12" s="4">
        <f t="shared" si="6"/>
        <v>0</v>
      </c>
      <c r="X12" s="3"/>
      <c r="Y12" s="3">
        <v>1888.28</v>
      </c>
      <c r="Z12" s="4">
        <f t="shared" si="7"/>
        <v>1888.28</v>
      </c>
      <c r="AA12" s="3"/>
      <c r="AB12" s="3">
        <v>250.4</v>
      </c>
      <c r="AC12" s="4">
        <f t="shared" si="8"/>
        <v>250.4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12317.97</v>
      </c>
      <c r="AO12" s="4">
        <f t="shared" si="14"/>
        <v>12317.97</v>
      </c>
    </row>
    <row r="13" spans="1:41" ht="20.100000000000001" customHeight="1">
      <c r="A13" s="3">
        <v>2230</v>
      </c>
      <c r="B13" s="3" t="s">
        <v>4</v>
      </c>
      <c r="C13" s="4"/>
      <c r="D13" s="4"/>
      <c r="E13" s="4">
        <f t="shared" si="0"/>
        <v>0</v>
      </c>
      <c r="F13" s="4"/>
      <c r="G13" s="4"/>
      <c r="H13" s="4">
        <f t="shared" si="1"/>
        <v>0</v>
      </c>
      <c r="I13" s="4"/>
      <c r="J13" s="4"/>
      <c r="K13" s="4">
        <f t="shared" si="2"/>
        <v>0</v>
      </c>
      <c r="L13" s="4"/>
      <c r="M13" s="4"/>
      <c r="N13" s="4">
        <f t="shared" si="3"/>
        <v>0</v>
      </c>
      <c r="O13" s="4"/>
      <c r="P13" s="4"/>
      <c r="Q13" s="4">
        <f t="shared" si="4"/>
        <v>0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/>
      <c r="AC13" s="4">
        <f t="shared" si="8"/>
        <v>0</v>
      </c>
      <c r="AD13" s="3"/>
      <c r="AE13" s="3"/>
      <c r="AF13" s="4">
        <f t="shared" si="9"/>
        <v>0</v>
      </c>
      <c r="AG13" s="3"/>
      <c r="AH13" s="4"/>
      <c r="AI13" s="4">
        <f t="shared" si="10"/>
        <v>0</v>
      </c>
      <c r="AJ13" s="3"/>
      <c r="AK13" s="4"/>
      <c r="AL13" s="4">
        <f t="shared" si="11"/>
        <v>0</v>
      </c>
      <c r="AM13" s="4">
        <f t="shared" si="12"/>
        <v>0</v>
      </c>
      <c r="AN13" s="4">
        <f t="shared" si="13"/>
        <v>0</v>
      </c>
      <c r="AO13" s="4">
        <f t="shared" si="14"/>
        <v>0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150+7200</f>
        <v>7350</v>
      </c>
      <c r="H14" s="4">
        <f t="shared" si="1"/>
        <v>7350</v>
      </c>
      <c r="I14" s="4"/>
      <c r="J14" s="4">
        <f>54545.35+150</f>
        <v>54695.35</v>
      </c>
      <c r="K14" s="4">
        <f t="shared" si="2"/>
        <v>54695.35</v>
      </c>
      <c r="L14" s="4"/>
      <c r="M14" s="4">
        <f>150+14914.49</f>
        <v>15064.49</v>
      </c>
      <c r="N14" s="4">
        <f t="shared" si="3"/>
        <v>15064.49</v>
      </c>
      <c r="O14" s="4"/>
      <c r="P14" s="3">
        <f>17488.49+150</f>
        <v>17638.490000000002</v>
      </c>
      <c r="Q14" s="4">
        <f t="shared" si="4"/>
        <v>17638.490000000002</v>
      </c>
      <c r="R14" s="3"/>
      <c r="S14" s="3">
        <f>9975.49+150</f>
        <v>10125.49</v>
      </c>
      <c r="T14" s="4">
        <f t="shared" si="5"/>
        <v>10125.49</v>
      </c>
      <c r="U14" s="3"/>
      <c r="V14" s="3">
        <f>11531.21+150</f>
        <v>11681.21</v>
      </c>
      <c r="W14" s="4">
        <f t="shared" si="6"/>
        <v>11681.21</v>
      </c>
      <c r="X14" s="3"/>
      <c r="Y14" s="3">
        <f>150+30075.89</f>
        <v>30225.89</v>
      </c>
      <c r="Z14" s="4">
        <f t="shared" si="7"/>
        <v>30225.89</v>
      </c>
      <c r="AA14" s="3"/>
      <c r="AB14" s="3">
        <f>12357.79+150</f>
        <v>12507.79</v>
      </c>
      <c r="AC14" s="4">
        <f t="shared" si="8"/>
        <v>12507.79</v>
      </c>
      <c r="AD14" s="3"/>
      <c r="AE14" s="4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159288.71</v>
      </c>
      <c r="AO14" s="4">
        <f t="shared" si="14"/>
        <v>159288.71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3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4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v>951533.3</v>
      </c>
      <c r="H17" s="4">
        <f t="shared" si="1"/>
        <v>951533.3</v>
      </c>
      <c r="I17" s="4"/>
      <c r="J17" s="4">
        <v>360463.8</v>
      </c>
      <c r="K17" s="4">
        <f t="shared" si="2"/>
        <v>360463.8</v>
      </c>
      <c r="L17" s="4"/>
      <c r="M17" s="4">
        <v>403057.02</v>
      </c>
      <c r="N17" s="4">
        <f t="shared" si="3"/>
        <v>403057.02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1715054.12</v>
      </c>
      <c r="AO17" s="4">
        <f t="shared" si="14"/>
        <v>1715054.12</v>
      </c>
    </row>
    <row r="18" spans="1:41" ht="20.100000000000001" customHeight="1">
      <c r="A18" s="3">
        <v>2272</v>
      </c>
      <c r="B18" s="3" t="s">
        <v>9</v>
      </c>
      <c r="C18" s="4"/>
      <c r="D18" s="4">
        <v>2469.6</v>
      </c>
      <c r="E18" s="4">
        <f t="shared" si="0"/>
        <v>2469.6</v>
      </c>
      <c r="F18" s="4"/>
      <c r="G18" s="4">
        <v>3316.32</v>
      </c>
      <c r="H18" s="4">
        <f t="shared" si="1"/>
        <v>3316.32</v>
      </c>
      <c r="I18" s="4"/>
      <c r="J18" s="4">
        <v>3810.24</v>
      </c>
      <c r="K18" s="4">
        <f t="shared" si="2"/>
        <v>3810.24</v>
      </c>
      <c r="L18" s="4"/>
      <c r="M18" s="4">
        <v>3739.68</v>
      </c>
      <c r="N18" s="4">
        <f t="shared" si="3"/>
        <v>3739.68</v>
      </c>
      <c r="O18" s="4"/>
      <c r="P18" s="3">
        <v>4092.48</v>
      </c>
      <c r="Q18" s="4">
        <f t="shared" si="4"/>
        <v>4092.48</v>
      </c>
      <c r="R18" s="3"/>
      <c r="S18" s="3">
        <v>2901.48</v>
      </c>
      <c r="T18" s="4">
        <f t="shared" si="5"/>
        <v>2901.48</v>
      </c>
      <c r="U18" s="3"/>
      <c r="V18" s="3">
        <v>1098.55</v>
      </c>
      <c r="W18" s="4">
        <f t="shared" si="6"/>
        <v>1098.55</v>
      </c>
      <c r="X18" s="3"/>
      <c r="Y18" s="3">
        <v>1255.49</v>
      </c>
      <c r="Z18" s="4">
        <f t="shared" si="7"/>
        <v>1255.49</v>
      </c>
      <c r="AA18" s="3"/>
      <c r="AB18" s="3">
        <v>3923.4</v>
      </c>
      <c r="AC18" s="4">
        <f t="shared" si="8"/>
        <v>3923.4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26607.239999999998</v>
      </c>
      <c r="AO18" s="4">
        <f t="shared" si="14"/>
        <v>26607.239999999998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59206.65</v>
      </c>
      <c r="H19" s="4">
        <f t="shared" si="1"/>
        <v>59206.65</v>
      </c>
      <c r="I19" s="4"/>
      <c r="J19" s="4">
        <v>58750.83</v>
      </c>
      <c r="K19" s="4">
        <f t="shared" si="2"/>
        <v>58750.83</v>
      </c>
      <c r="L19" s="4"/>
      <c r="M19" s="4">
        <v>71692.160000000003</v>
      </c>
      <c r="N19" s="4">
        <f t="shared" si="3"/>
        <v>71692.160000000003</v>
      </c>
      <c r="O19" s="4"/>
      <c r="P19" s="3">
        <v>73765.350000000006</v>
      </c>
      <c r="Q19" s="4">
        <f t="shared" si="4"/>
        <v>73765.350000000006</v>
      </c>
      <c r="R19" s="3"/>
      <c r="S19" s="3">
        <v>47279.9</v>
      </c>
      <c r="T19" s="4">
        <f t="shared" si="5"/>
        <v>47279.9</v>
      </c>
      <c r="U19" s="3"/>
      <c r="V19" s="3">
        <v>6682.63</v>
      </c>
      <c r="W19" s="4">
        <f t="shared" si="6"/>
        <v>6682.63</v>
      </c>
      <c r="X19" s="3"/>
      <c r="Y19" s="3">
        <v>3440.88</v>
      </c>
      <c r="Z19" s="4">
        <f t="shared" si="7"/>
        <v>3440.88</v>
      </c>
      <c r="AA19" s="3"/>
      <c r="AB19" s="3">
        <v>7299.58</v>
      </c>
      <c r="AC19" s="4">
        <f t="shared" si="8"/>
        <v>7299.58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328117.98000000004</v>
      </c>
      <c r="AO19" s="4">
        <f t="shared" si="13"/>
        <v>328117.98000000004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12284.83</v>
      </c>
      <c r="E21" s="4">
        <f t="shared" si="0"/>
        <v>12284.83</v>
      </c>
      <c r="F21" s="4"/>
      <c r="G21" s="4">
        <v>8259.4</v>
      </c>
      <c r="H21" s="4">
        <f t="shared" si="1"/>
        <v>8259.4</v>
      </c>
      <c r="I21" s="4"/>
      <c r="J21" s="4">
        <v>2134.98</v>
      </c>
      <c r="K21" s="4">
        <f t="shared" si="2"/>
        <v>2134.98</v>
      </c>
      <c r="L21" s="4"/>
      <c r="M21" s="4">
        <v>2358.1799999999998</v>
      </c>
      <c r="N21" s="4">
        <f t="shared" si="3"/>
        <v>2358.1799999999998</v>
      </c>
      <c r="O21" s="8"/>
      <c r="P21" s="3">
        <v>9096.16</v>
      </c>
      <c r="Q21" s="4">
        <f t="shared" si="4"/>
        <v>9096.16</v>
      </c>
      <c r="R21" s="3"/>
      <c r="S21" s="3">
        <v>2358.1799999999998</v>
      </c>
      <c r="T21" s="4">
        <f t="shared" si="5"/>
        <v>2358.1799999999998</v>
      </c>
      <c r="U21" s="3"/>
      <c r="V21" s="3">
        <v>7258.18</v>
      </c>
      <c r="W21" s="4">
        <f t="shared" si="6"/>
        <v>7258.18</v>
      </c>
      <c r="X21" s="3"/>
      <c r="Y21" s="3">
        <v>3054.48</v>
      </c>
      <c r="Z21" s="4">
        <f t="shared" si="7"/>
        <v>3054.48</v>
      </c>
      <c r="AA21" s="3"/>
      <c r="AB21" s="3">
        <v>3093.3</v>
      </c>
      <c r="AC21" s="4">
        <f t="shared" si="8"/>
        <v>3093.3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49897.69</v>
      </c>
      <c r="AO21" s="4">
        <f t="shared" si="14"/>
        <v>49897.69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8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1020</v>
      </c>
      <c r="Z22" s="4">
        <f t="shared" si="7"/>
        <v>1020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1620</v>
      </c>
      <c r="AO22" s="4">
        <f t="shared" si="14"/>
        <v>1620</v>
      </c>
    </row>
    <row r="23" spans="1:41" ht="26.2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8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7.75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1"/>
        <v>0</v>
      </c>
      <c r="I24" s="4">
        <f t="shared" ref="I24" si="17">H24+G24</f>
        <v>0</v>
      </c>
      <c r="J24" s="4"/>
      <c r="K24" s="4">
        <f t="shared" si="2"/>
        <v>0</v>
      </c>
      <c r="L24" s="4"/>
      <c r="M24" s="4"/>
      <c r="N24" s="4">
        <f t="shared" si="3"/>
        <v>0</v>
      </c>
      <c r="O24" s="4">
        <f t="shared" ref="O24" si="18">N24+M24</f>
        <v>0</v>
      </c>
      <c r="P24" s="4">
        <v>9735.2000000000007</v>
      </c>
      <c r="Q24" s="4">
        <f t="shared" si="4"/>
        <v>9735.2000000000007</v>
      </c>
      <c r="R24" s="4"/>
      <c r="S24" s="4"/>
      <c r="T24" s="4">
        <f t="shared" si="5"/>
        <v>0</v>
      </c>
      <c r="U24" s="4">
        <f t="shared" ref="U24" si="19">T24+S24</f>
        <v>0</v>
      </c>
      <c r="V24" s="4">
        <f t="shared" ref="V24" si="20">U24+T24</f>
        <v>0</v>
      </c>
      <c r="W24" s="4">
        <f t="shared" si="6"/>
        <v>0</v>
      </c>
      <c r="X24" s="4">
        <f t="shared" ref="X24" si="21">W24+V24</f>
        <v>0</v>
      </c>
      <c r="Y24" s="4">
        <v>12723.72</v>
      </c>
      <c r="Z24" s="4">
        <f t="shared" si="7"/>
        <v>12723.72</v>
      </c>
      <c r="AA24" s="4">
        <f t="shared" ref="AA24" si="22">Z24+Y24</f>
        <v>25447.439999999999</v>
      </c>
      <c r="AB24" s="4">
        <f t="shared" ref="AB24" si="23">AA24+Z24</f>
        <v>38171.159999999996</v>
      </c>
      <c r="AC24" s="4">
        <f t="shared" si="8"/>
        <v>63618.599999999991</v>
      </c>
      <c r="AD24" s="4">
        <f t="shared" ref="AD24" si="24">AC24+AB24</f>
        <v>101789.75999999998</v>
      </c>
      <c r="AE24" s="4">
        <f t="shared" ref="AE24" si="25">AD24+AC24</f>
        <v>165408.35999999999</v>
      </c>
      <c r="AF24" s="4">
        <f t="shared" si="9"/>
        <v>267198.12</v>
      </c>
      <c r="AG24" s="4">
        <f t="shared" ref="AG24" si="26">AF24+AE24</f>
        <v>432606.48</v>
      </c>
      <c r="AH24" s="4">
        <f t="shared" ref="AH24" si="27">AG24+AF24</f>
        <v>699804.6</v>
      </c>
      <c r="AI24" s="4">
        <f t="shared" si="10"/>
        <v>1132411.08</v>
      </c>
      <c r="AJ24" s="4">
        <f t="shared" ref="AJ24" si="28">AI24+AH24</f>
        <v>1832215.6800000002</v>
      </c>
      <c r="AK24" s="4">
        <f t="shared" ref="AK24" si="29">AJ24+AI24</f>
        <v>2964626.7600000002</v>
      </c>
      <c r="AL24" s="4">
        <f t="shared" si="11"/>
        <v>4796842.4400000004</v>
      </c>
      <c r="AM24" s="4">
        <f t="shared" ref="AM24" si="30">AL24+AK24</f>
        <v>7761469.2000000011</v>
      </c>
      <c r="AN24" s="4">
        <f t="shared" si="13"/>
        <v>3890469.8000000007</v>
      </c>
      <c r="AO24" s="4">
        <f t="shared" si="14"/>
        <v>6282529.1600000001</v>
      </c>
    </row>
    <row r="25" spans="1:41" ht="27.7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1516</v>
      </c>
      <c r="H29" s="4">
        <f t="shared" si="1"/>
        <v>1516</v>
      </c>
      <c r="I29" s="4"/>
      <c r="J29" s="4">
        <v>1516</v>
      </c>
      <c r="K29" s="4">
        <f t="shared" si="2"/>
        <v>1516</v>
      </c>
      <c r="L29" s="4"/>
      <c r="M29" s="4">
        <v>2616</v>
      </c>
      <c r="N29" s="4">
        <f t="shared" si="3"/>
        <v>2616</v>
      </c>
      <c r="O29" s="8"/>
      <c r="P29" s="3">
        <v>1516</v>
      </c>
      <c r="Q29" s="4">
        <f t="shared" si="4"/>
        <v>1516</v>
      </c>
      <c r="R29" s="3"/>
      <c r="S29" s="3">
        <v>1516</v>
      </c>
      <c r="T29" s="4">
        <f t="shared" si="5"/>
        <v>1516</v>
      </c>
      <c r="U29" s="3"/>
      <c r="V29" s="3">
        <v>2616</v>
      </c>
      <c r="W29" s="4">
        <f t="shared" si="6"/>
        <v>2616</v>
      </c>
      <c r="X29" s="3"/>
      <c r="Y29" s="3">
        <v>1516</v>
      </c>
      <c r="Z29" s="4">
        <f t="shared" si="7"/>
        <v>1516</v>
      </c>
      <c r="AA29" s="3"/>
      <c r="AB29" s="4">
        <v>1516</v>
      </c>
      <c r="AC29" s="4">
        <f t="shared" si="8"/>
        <v>1516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14328</v>
      </c>
      <c r="AO29" s="4">
        <f t="shared" si="14"/>
        <v>14328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31">SUM(D9:D28)</f>
        <v>253095.93</v>
      </c>
      <c r="E30" s="8">
        <f t="shared" si="31"/>
        <v>253095.93</v>
      </c>
      <c r="F30" s="8">
        <f t="shared" si="31"/>
        <v>0</v>
      </c>
      <c r="G30" s="8">
        <f>SUM(G9:G29)</f>
        <v>1292802.32</v>
      </c>
      <c r="H30" s="8">
        <f>SUM(H9:H29)</f>
        <v>1292802.32</v>
      </c>
      <c r="I30" s="8">
        <f t="shared" si="31"/>
        <v>0</v>
      </c>
      <c r="J30" s="8">
        <f t="shared" si="31"/>
        <v>727575.07</v>
      </c>
      <c r="K30" s="8">
        <f>J30+I30</f>
        <v>727575.07</v>
      </c>
      <c r="L30" s="8">
        <f t="shared" si="31"/>
        <v>0</v>
      </c>
      <c r="M30" s="8">
        <f t="shared" si="31"/>
        <v>752111.79000000015</v>
      </c>
      <c r="N30" s="8">
        <f>M30+L30</f>
        <v>752111.79000000015</v>
      </c>
      <c r="O30" s="8">
        <f t="shared" si="31"/>
        <v>0</v>
      </c>
      <c r="P30" s="8">
        <f t="shared" si="31"/>
        <v>364541.35</v>
      </c>
      <c r="Q30" s="8">
        <f>P30+O30</f>
        <v>364541.35</v>
      </c>
      <c r="R30" s="8">
        <f t="shared" si="31"/>
        <v>0</v>
      </c>
      <c r="S30" s="8">
        <f t="shared" si="31"/>
        <v>371293.66</v>
      </c>
      <c r="T30" s="8">
        <f>S30+R30</f>
        <v>371293.66</v>
      </c>
      <c r="U30" s="8">
        <f t="shared" si="31"/>
        <v>0</v>
      </c>
      <c r="V30" s="8">
        <f t="shared" si="31"/>
        <v>241563.93999999997</v>
      </c>
      <c r="W30" s="8">
        <f>V30+U30</f>
        <v>241563.93999999997</v>
      </c>
      <c r="X30" s="8">
        <f t="shared" si="31"/>
        <v>0</v>
      </c>
      <c r="Y30" s="8">
        <f t="shared" si="31"/>
        <v>311037.86</v>
      </c>
      <c r="Z30" s="8">
        <f t="shared" si="7"/>
        <v>311037.86</v>
      </c>
      <c r="AA30" s="8">
        <f t="shared" si="31"/>
        <v>25447.439999999999</v>
      </c>
      <c r="AB30" s="8">
        <f t="shared" si="31"/>
        <v>343255.58</v>
      </c>
      <c r="AC30" s="8">
        <f>AB30+AA30</f>
        <v>368703.02</v>
      </c>
      <c r="AD30" s="8">
        <f t="shared" si="31"/>
        <v>101789.75999999998</v>
      </c>
      <c r="AE30" s="8">
        <f t="shared" si="31"/>
        <v>165408.35999999999</v>
      </c>
      <c r="AF30" s="8">
        <f>AE30+AD30</f>
        <v>267198.12</v>
      </c>
      <c r="AG30" s="8">
        <f t="shared" si="31"/>
        <v>432606.48</v>
      </c>
      <c r="AH30" s="8">
        <f t="shared" si="31"/>
        <v>699804.6</v>
      </c>
      <c r="AI30" s="8">
        <f>AH30+AG30</f>
        <v>1132411.08</v>
      </c>
      <c r="AJ30" s="8">
        <f t="shared" si="31"/>
        <v>1832215.6800000002</v>
      </c>
      <c r="AK30" s="8">
        <f t="shared" si="31"/>
        <v>2964626.7600000002</v>
      </c>
      <c r="AL30" s="8">
        <f>AK30+AJ30</f>
        <v>4796842.4400000004</v>
      </c>
      <c r="AM30" s="8">
        <f t="shared" si="31"/>
        <v>7761469.2000000011</v>
      </c>
      <c r="AN30" s="8">
        <f t="shared" si="31"/>
        <v>8485601.2200000025</v>
      </c>
      <c r="AO30" s="8">
        <f t="shared" si="31"/>
        <v>10877660.580000002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O35"/>
  <sheetViews>
    <sheetView zoomScale="90" zoomScaleNormal="90" workbookViewId="0">
      <pane xSplit="2" ySplit="8" topLeftCell="R15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1.5546875" customWidth="1"/>
    <col min="5" max="5" width="11.44140625" customWidth="1"/>
    <col min="6" max="6" width="11.6640625" customWidth="1"/>
    <col min="7" max="7" width="11" customWidth="1"/>
    <col min="8" max="8" width="10.88671875" customWidth="1"/>
    <col min="9" max="9" width="11.109375" customWidth="1"/>
    <col min="10" max="10" width="10.44140625" customWidth="1"/>
    <col min="11" max="11" width="11.33203125" customWidth="1"/>
    <col min="12" max="12" width="12.44140625" customWidth="1"/>
    <col min="13" max="13" width="10.6640625" customWidth="1"/>
    <col min="14" max="14" width="10.88671875" customWidth="1"/>
    <col min="15" max="15" width="13.5546875" customWidth="1"/>
    <col min="16" max="16" width="11.44140625" customWidth="1"/>
    <col min="17" max="17" width="10.5546875" customWidth="1"/>
    <col min="18" max="18" width="11.44140625" customWidth="1"/>
    <col min="19" max="19" width="11" customWidth="1"/>
    <col min="20" max="20" width="10.6640625" customWidth="1"/>
    <col min="21" max="21" width="12.33203125" customWidth="1"/>
    <col min="22" max="22" width="10.88671875" customWidth="1"/>
    <col min="23" max="23" width="11.109375" customWidth="1"/>
    <col min="24" max="24" width="11.44140625" customWidth="1"/>
    <col min="25" max="25" width="11.88671875" customWidth="1"/>
    <col min="26" max="26" width="11.33203125" customWidth="1"/>
    <col min="27" max="27" width="11.44140625" customWidth="1"/>
    <col min="28" max="28" width="12.33203125" customWidth="1"/>
    <col min="29" max="29" width="10.6640625" customWidth="1"/>
    <col min="30" max="30" width="11.44140625" customWidth="1"/>
    <col min="31" max="31" width="10.44140625" customWidth="1"/>
    <col min="32" max="32" width="10.88671875" customWidth="1"/>
    <col min="33" max="33" width="11.33203125" customWidth="1"/>
    <col min="34" max="34" width="11" customWidth="1"/>
    <col min="35" max="35" width="10.44140625" customWidth="1"/>
    <col min="36" max="36" width="11.88671875" customWidth="1"/>
    <col min="37" max="37" width="11.33203125" customWidth="1"/>
    <col min="38" max="38" width="10.88671875" customWidth="1"/>
    <col min="39" max="39" width="11.88671875" customWidth="1"/>
    <col min="40" max="40" width="12.109375" customWidth="1"/>
    <col min="41" max="41" width="11.66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1.25" customHeight="1">
      <c r="L3" s="1"/>
      <c r="M3" s="1"/>
      <c r="N3" s="1"/>
      <c r="O3" s="1"/>
      <c r="R3" s="1" t="s">
        <v>33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64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170332.89</v>
      </c>
      <c r="E9" s="4">
        <f>D9+C9</f>
        <v>170332.89</v>
      </c>
      <c r="F9" s="4"/>
      <c r="G9" s="4">
        <v>169010.09</v>
      </c>
      <c r="H9" s="4">
        <f>G9+F9</f>
        <v>169010.09</v>
      </c>
      <c r="I9" s="4"/>
      <c r="J9" s="4">
        <v>175820.78</v>
      </c>
      <c r="K9" s="4">
        <f>J9+I9</f>
        <v>175820.78</v>
      </c>
      <c r="L9" s="4"/>
      <c r="M9" s="4">
        <v>176909.36</v>
      </c>
      <c r="N9" s="4">
        <f>M9+L9</f>
        <v>176909.36</v>
      </c>
      <c r="O9" s="4"/>
      <c r="P9" s="3">
        <v>176819.07</v>
      </c>
      <c r="Q9" s="4">
        <f>P9+O9</f>
        <v>176819.07</v>
      </c>
      <c r="R9" s="3"/>
      <c r="S9" s="3">
        <v>216415.78</v>
      </c>
      <c r="T9" s="4">
        <f>S9+R9</f>
        <v>216415.78</v>
      </c>
      <c r="U9" s="3"/>
      <c r="V9" s="3">
        <v>164685.06</v>
      </c>
      <c r="W9" s="4">
        <f>V9+U9</f>
        <v>164685.06</v>
      </c>
      <c r="X9" s="3"/>
      <c r="Y9" s="3">
        <v>149217.62</v>
      </c>
      <c r="Z9" s="4">
        <f>Y9+X9</f>
        <v>149217.62</v>
      </c>
      <c r="AA9" s="3"/>
      <c r="AB9" s="3">
        <v>191854.95</v>
      </c>
      <c r="AC9" s="4">
        <f>AB9+AA9</f>
        <v>191854.95</v>
      </c>
      <c r="AD9" s="3"/>
      <c r="AE9" s="3"/>
      <c r="AF9" s="4">
        <f>AE9+AD9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1591065.6000000001</v>
      </c>
      <c r="AO9" s="4">
        <f>AL9+AI9+AF9+AC9+Z9+W9+T9+Q9+N9+K9+H9+E9</f>
        <v>1591065.6000000001</v>
      </c>
    </row>
    <row r="10" spans="1:41" ht="20.100000000000001" customHeight="1">
      <c r="A10" s="3">
        <v>2120</v>
      </c>
      <c r="B10" s="3" t="s">
        <v>1</v>
      </c>
      <c r="C10" s="4"/>
      <c r="D10" s="4">
        <v>38210.89</v>
      </c>
      <c r="E10" s="4">
        <f t="shared" ref="E10:E29" si="0">D10+C10</f>
        <v>38210.89</v>
      </c>
      <c r="F10" s="4"/>
      <c r="G10" s="4">
        <v>37497.019999999997</v>
      </c>
      <c r="H10" s="4">
        <f t="shared" ref="H10:H29" si="1">G10+F10</f>
        <v>37497.019999999997</v>
      </c>
      <c r="I10" s="4"/>
      <c r="J10" s="4">
        <v>38845.480000000003</v>
      </c>
      <c r="K10" s="4">
        <f t="shared" ref="K10:K29" si="2">J10+I10</f>
        <v>38845.480000000003</v>
      </c>
      <c r="L10" s="4"/>
      <c r="M10" s="4">
        <v>38946.65</v>
      </c>
      <c r="N10" s="4">
        <f t="shared" ref="N10:N29" si="3">M10+L10</f>
        <v>38946.65</v>
      </c>
      <c r="O10" s="4"/>
      <c r="P10" s="3">
        <v>38968.839999999997</v>
      </c>
      <c r="Q10" s="4">
        <f t="shared" ref="Q10:Q29" si="4">P10+O10</f>
        <v>38968.839999999997</v>
      </c>
      <c r="R10" s="3"/>
      <c r="S10" s="3">
        <v>47179.75</v>
      </c>
      <c r="T10" s="4">
        <f t="shared" ref="T10:T29" si="5">S10+R10</f>
        <v>47179.75</v>
      </c>
      <c r="U10" s="3"/>
      <c r="V10" s="3">
        <v>37351.64</v>
      </c>
      <c r="W10" s="4">
        <f t="shared" ref="W10:W29" si="6">V10+U10</f>
        <v>37351.64</v>
      </c>
      <c r="X10" s="4"/>
      <c r="Y10" s="3">
        <v>33365.160000000003</v>
      </c>
      <c r="Z10" s="4">
        <f t="shared" ref="Z10:Z30" si="7">Y10+X10</f>
        <v>33365.160000000003</v>
      </c>
      <c r="AA10" s="4"/>
      <c r="AB10" s="4">
        <v>40251.4</v>
      </c>
      <c r="AC10" s="4">
        <f t="shared" ref="AC10:AC29" si="8">AB10+AA10</f>
        <v>40251.4</v>
      </c>
      <c r="AD10" s="3"/>
      <c r="AE10" s="3"/>
      <c r="AF10" s="4">
        <f t="shared" ref="AF10:AF29" si="9">AE10+AD10</f>
        <v>0</v>
      </c>
      <c r="AG10" s="3"/>
      <c r="AH10" s="3"/>
      <c r="AI10" s="4">
        <f t="shared" ref="AI10:AI29" si="10">AH10+AG10</f>
        <v>0</v>
      </c>
      <c r="AJ10" s="4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350616.83</v>
      </c>
      <c r="AO10" s="4">
        <f t="shared" ref="AO10:AO29" si="14">AL10+AI10+AF10+AC10+Z10+W10+T10+Q10+N10+K10+H10+E10</f>
        <v>350616.83</v>
      </c>
    </row>
    <row r="11" spans="1:41" ht="20.100000000000001" customHeight="1">
      <c r="A11" s="3">
        <v>2210</v>
      </c>
      <c r="B11" s="3" t="s">
        <v>2</v>
      </c>
      <c r="C11" s="4"/>
      <c r="D11" s="4">
        <v>12168.13</v>
      </c>
      <c r="E11" s="4">
        <f t="shared" si="0"/>
        <v>12168.13</v>
      </c>
      <c r="F11" s="4"/>
      <c r="G11" s="4"/>
      <c r="H11" s="4">
        <f t="shared" si="1"/>
        <v>0</v>
      </c>
      <c r="I11" s="4"/>
      <c r="J11" s="4"/>
      <c r="K11" s="4">
        <f t="shared" si="2"/>
        <v>0</v>
      </c>
      <c r="L11" s="4"/>
      <c r="M11" s="4">
        <v>1516.22</v>
      </c>
      <c r="N11" s="4">
        <f t="shared" si="3"/>
        <v>1516.22</v>
      </c>
      <c r="O11" s="8"/>
      <c r="P11" s="3">
        <v>1348.74</v>
      </c>
      <c r="Q11" s="4">
        <f t="shared" si="4"/>
        <v>1348.74</v>
      </c>
      <c r="R11" s="3"/>
      <c r="S11" s="3"/>
      <c r="T11" s="4">
        <f t="shared" si="5"/>
        <v>0</v>
      </c>
      <c r="U11" s="3"/>
      <c r="V11" s="3"/>
      <c r="W11" s="4">
        <f t="shared" si="6"/>
        <v>0</v>
      </c>
      <c r="X11" s="3"/>
      <c r="Y11" s="3"/>
      <c r="Z11" s="4">
        <f t="shared" si="7"/>
        <v>0</v>
      </c>
      <c r="AA11" s="3"/>
      <c r="AB11" s="3">
        <v>60.5</v>
      </c>
      <c r="AC11" s="4">
        <f t="shared" si="8"/>
        <v>60.5</v>
      </c>
      <c r="AD11" s="3"/>
      <c r="AE11" s="3"/>
      <c r="AF11" s="4">
        <f t="shared" si="9"/>
        <v>0</v>
      </c>
      <c r="AG11" s="3"/>
      <c r="AH11" s="3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15093.59</v>
      </c>
      <c r="AO11" s="4">
        <f t="shared" si="14"/>
        <v>15093.59</v>
      </c>
    </row>
    <row r="12" spans="1:41" ht="20.100000000000001" customHeight="1">
      <c r="A12" s="3">
        <v>2220</v>
      </c>
      <c r="B12" s="3" t="s">
        <v>3</v>
      </c>
      <c r="C12" s="4"/>
      <c r="D12" s="4">
        <v>1690.8</v>
      </c>
      <c r="E12" s="4">
        <f t="shared" si="0"/>
        <v>1690.8</v>
      </c>
      <c r="F12" s="4"/>
      <c r="G12" s="4"/>
      <c r="H12" s="4">
        <f t="shared" si="1"/>
        <v>0</v>
      </c>
      <c r="I12" s="4"/>
      <c r="J12" s="4"/>
      <c r="K12" s="4">
        <f t="shared" si="2"/>
        <v>0</v>
      </c>
      <c r="L12" s="4"/>
      <c r="M12" s="4">
        <v>1918.26</v>
      </c>
      <c r="N12" s="4">
        <f t="shared" si="3"/>
        <v>1918.26</v>
      </c>
      <c r="O12" s="8"/>
      <c r="P12" s="3">
        <v>146.25</v>
      </c>
      <c r="Q12" s="4">
        <f t="shared" si="4"/>
        <v>146.25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/>
      <c r="AC12" s="4">
        <f t="shared" si="8"/>
        <v>0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4"/>
      <c r="AL12" s="4">
        <f t="shared" si="11"/>
        <v>0</v>
      </c>
      <c r="AM12" s="4">
        <f t="shared" si="12"/>
        <v>0</v>
      </c>
      <c r="AN12" s="4">
        <f t="shared" si="13"/>
        <v>3755.3100000000004</v>
      </c>
      <c r="AO12" s="4">
        <f t="shared" si="14"/>
        <v>3755.3100000000004</v>
      </c>
    </row>
    <row r="13" spans="1:41" ht="20.100000000000001" customHeight="1">
      <c r="A13" s="3">
        <v>2230</v>
      </c>
      <c r="B13" s="3" t="s">
        <v>4</v>
      </c>
      <c r="C13" s="4"/>
      <c r="D13" s="4"/>
      <c r="E13" s="4">
        <f t="shared" si="0"/>
        <v>0</v>
      </c>
      <c r="F13" s="4"/>
      <c r="G13" s="4"/>
      <c r="H13" s="4">
        <f t="shared" si="1"/>
        <v>0</v>
      </c>
      <c r="I13" s="4"/>
      <c r="J13" s="4"/>
      <c r="K13" s="4">
        <f t="shared" si="2"/>
        <v>0</v>
      </c>
      <c r="L13" s="4"/>
      <c r="M13" s="4"/>
      <c r="N13" s="4">
        <f t="shared" si="3"/>
        <v>0</v>
      </c>
      <c r="O13" s="4"/>
      <c r="P13" s="4"/>
      <c r="Q13" s="4">
        <f t="shared" si="4"/>
        <v>0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/>
      <c r="AC13" s="4">
        <f t="shared" si="8"/>
        <v>0</v>
      </c>
      <c r="AD13" s="3"/>
      <c r="AE13" s="3"/>
      <c r="AF13" s="4">
        <f t="shared" si="9"/>
        <v>0</v>
      </c>
      <c r="AG13" s="3"/>
      <c r="AH13" s="4"/>
      <c r="AI13" s="4">
        <f t="shared" si="10"/>
        <v>0</v>
      </c>
      <c r="AJ13" s="3"/>
      <c r="AK13" s="4"/>
      <c r="AL13" s="4">
        <f t="shared" si="11"/>
        <v>0</v>
      </c>
      <c r="AM13" s="4">
        <f t="shared" si="12"/>
        <v>0</v>
      </c>
      <c r="AN13" s="4">
        <f t="shared" si="13"/>
        <v>0</v>
      </c>
      <c r="AO13" s="4">
        <f t="shared" si="14"/>
        <v>0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150+7200</f>
        <v>7350</v>
      </c>
      <c r="H14" s="4">
        <f t="shared" si="1"/>
        <v>7350</v>
      </c>
      <c r="I14" s="4"/>
      <c r="J14" s="4">
        <f>14811.02+150</f>
        <v>14961.02</v>
      </c>
      <c r="K14" s="4">
        <f t="shared" si="2"/>
        <v>14961.02</v>
      </c>
      <c r="L14" s="4"/>
      <c r="M14" s="4">
        <f>150+34551.72</f>
        <v>34701.72</v>
      </c>
      <c r="N14" s="4">
        <f t="shared" si="3"/>
        <v>34701.72</v>
      </c>
      <c r="O14" s="4"/>
      <c r="P14" s="3">
        <f>17141.72+150</f>
        <v>17291.72</v>
      </c>
      <c r="Q14" s="4">
        <f t="shared" si="4"/>
        <v>17291.72</v>
      </c>
      <c r="R14" s="3"/>
      <c r="S14" s="3">
        <f>9628.72+150</f>
        <v>9778.7199999999993</v>
      </c>
      <c r="T14" s="4">
        <f t="shared" si="5"/>
        <v>9778.7199999999993</v>
      </c>
      <c r="U14" s="3"/>
      <c r="V14" s="3">
        <f>12829.44+150</f>
        <v>12979.44</v>
      </c>
      <c r="W14" s="4">
        <f t="shared" si="6"/>
        <v>12979.44</v>
      </c>
      <c r="X14" s="3"/>
      <c r="Y14" s="3">
        <f>150+14742.12</f>
        <v>14892.12</v>
      </c>
      <c r="Z14" s="4">
        <f t="shared" si="7"/>
        <v>14892.12</v>
      </c>
      <c r="AA14" s="3"/>
      <c r="AB14" s="3">
        <f>12011.02+150</f>
        <v>12161.02</v>
      </c>
      <c r="AC14" s="4">
        <f t="shared" si="8"/>
        <v>12161.02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124115.76000000001</v>
      </c>
      <c r="AO14" s="4">
        <f t="shared" si="14"/>
        <v>124115.76000000001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4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3"/>
      <c r="AC15" s="4">
        <f t="shared" si="8"/>
        <v>0</v>
      </c>
      <c r="AD15" s="3"/>
      <c r="AE15" s="3"/>
      <c r="AF15" s="4">
        <f t="shared" si="9"/>
        <v>0</v>
      </c>
      <c r="AG15" s="3"/>
      <c r="AH15" s="4"/>
      <c r="AI15" s="4">
        <f t="shared" si="10"/>
        <v>0</v>
      </c>
      <c r="AJ15" s="3"/>
      <c r="AK15" s="4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v>657198.64</v>
      </c>
      <c r="H17" s="4">
        <f t="shared" si="1"/>
        <v>657198.64</v>
      </c>
      <c r="I17" s="4"/>
      <c r="J17" s="4">
        <v>474205.64</v>
      </c>
      <c r="K17" s="4">
        <f t="shared" si="2"/>
        <v>474205.64</v>
      </c>
      <c r="L17" s="4"/>
      <c r="M17" s="4">
        <v>128719.13</v>
      </c>
      <c r="N17" s="4">
        <f t="shared" si="3"/>
        <v>128719.13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1260123.4100000001</v>
      </c>
      <c r="AO17" s="4">
        <f t="shared" si="14"/>
        <v>1260123.4100000001</v>
      </c>
    </row>
    <row r="18" spans="1:41" ht="20.100000000000001" customHeight="1">
      <c r="A18" s="3">
        <v>2272</v>
      </c>
      <c r="B18" s="3" t="s">
        <v>9</v>
      </c>
      <c r="C18" s="4"/>
      <c r="D18" s="4">
        <v>987.84</v>
      </c>
      <c r="E18" s="4">
        <f t="shared" si="0"/>
        <v>987.84</v>
      </c>
      <c r="F18" s="4"/>
      <c r="G18" s="4">
        <v>2469.6</v>
      </c>
      <c r="H18" s="4">
        <f t="shared" si="1"/>
        <v>2469.6</v>
      </c>
      <c r="I18" s="4"/>
      <c r="J18" s="4">
        <v>1834.56</v>
      </c>
      <c r="K18" s="4">
        <f t="shared" si="2"/>
        <v>1834.56</v>
      </c>
      <c r="L18" s="4"/>
      <c r="M18" s="4">
        <v>1905.12</v>
      </c>
      <c r="N18" s="4">
        <f t="shared" si="3"/>
        <v>1905.12</v>
      </c>
      <c r="O18" s="4"/>
      <c r="P18" s="3">
        <v>1905.12</v>
      </c>
      <c r="Q18" s="4">
        <f t="shared" si="4"/>
        <v>1905.12</v>
      </c>
      <c r="R18" s="3"/>
      <c r="S18" s="3">
        <v>2564.4899999999998</v>
      </c>
      <c r="T18" s="4">
        <f t="shared" si="5"/>
        <v>2564.4899999999998</v>
      </c>
      <c r="U18" s="3"/>
      <c r="V18" s="3">
        <v>863.15</v>
      </c>
      <c r="W18" s="4">
        <f t="shared" si="6"/>
        <v>863.15</v>
      </c>
      <c r="X18" s="3"/>
      <c r="Y18" s="3">
        <v>1020.08</v>
      </c>
      <c r="Z18" s="4">
        <f t="shared" si="7"/>
        <v>1020.08</v>
      </c>
      <c r="AA18" s="3"/>
      <c r="AB18" s="3">
        <v>1961.7</v>
      </c>
      <c r="AC18" s="4">
        <f t="shared" si="8"/>
        <v>1961.7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15511.66</v>
      </c>
      <c r="AO18" s="4">
        <f t="shared" si="14"/>
        <v>15511.66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17552.66</v>
      </c>
      <c r="H19" s="4">
        <f t="shared" si="1"/>
        <v>17552.66</v>
      </c>
      <c r="I19" s="4"/>
      <c r="J19" s="4">
        <v>36183.440000000002</v>
      </c>
      <c r="K19" s="4">
        <f t="shared" si="2"/>
        <v>36183.440000000002</v>
      </c>
      <c r="L19" s="4"/>
      <c r="M19" s="4">
        <v>42550.29</v>
      </c>
      <c r="N19" s="4">
        <f t="shared" si="3"/>
        <v>42550.29</v>
      </c>
      <c r="O19" s="4"/>
      <c r="P19" s="3">
        <v>33172.339999999997</v>
      </c>
      <c r="Q19" s="4">
        <f t="shared" si="4"/>
        <v>33172.339999999997</v>
      </c>
      <c r="R19" s="3"/>
      <c r="S19" s="3">
        <v>19272.23</v>
      </c>
      <c r="T19" s="4">
        <f t="shared" si="5"/>
        <v>19272.23</v>
      </c>
      <c r="U19" s="3"/>
      <c r="V19" s="3">
        <v>5317.95</v>
      </c>
      <c r="W19" s="4">
        <f t="shared" si="6"/>
        <v>5317.95</v>
      </c>
      <c r="X19" s="3"/>
      <c r="Y19" s="3">
        <v>4138.3599999999997</v>
      </c>
      <c r="Z19" s="4">
        <f t="shared" si="7"/>
        <v>4138.3599999999997</v>
      </c>
      <c r="AA19" s="3"/>
      <c r="AB19" s="3">
        <v>5616.85</v>
      </c>
      <c r="AC19" s="4">
        <f t="shared" si="8"/>
        <v>5616.85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163804.12</v>
      </c>
      <c r="AO19" s="4">
        <f t="shared" si="14"/>
        <v>163804.12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18114.03</v>
      </c>
      <c r="E21" s="4">
        <f t="shared" si="0"/>
        <v>18114.03</v>
      </c>
      <c r="F21" s="4"/>
      <c r="G21" s="4">
        <v>12120.46</v>
      </c>
      <c r="H21" s="4">
        <f t="shared" si="1"/>
        <v>12120.46</v>
      </c>
      <c r="I21" s="4"/>
      <c r="J21" s="4">
        <v>1135.8399999999999</v>
      </c>
      <c r="K21" s="4">
        <f t="shared" si="2"/>
        <v>1135.8399999999999</v>
      </c>
      <c r="L21" s="4"/>
      <c r="M21" s="4">
        <v>1048.08</v>
      </c>
      <c r="N21" s="4">
        <f t="shared" si="3"/>
        <v>1048.08</v>
      </c>
      <c r="O21" s="8"/>
      <c r="P21" s="3">
        <v>6699.24</v>
      </c>
      <c r="Q21" s="4">
        <f t="shared" si="4"/>
        <v>6699.24</v>
      </c>
      <c r="R21" s="3"/>
      <c r="S21" s="3">
        <v>1400.92</v>
      </c>
      <c r="T21" s="4">
        <f t="shared" si="5"/>
        <v>1400.92</v>
      </c>
      <c r="U21" s="3"/>
      <c r="V21" s="3">
        <v>5948.08</v>
      </c>
      <c r="W21" s="4">
        <f t="shared" si="6"/>
        <v>5948.08</v>
      </c>
      <c r="X21" s="3"/>
      <c r="Y21" s="3">
        <v>1909.05</v>
      </c>
      <c r="Z21" s="4">
        <f t="shared" si="7"/>
        <v>1909.05</v>
      </c>
      <c r="AA21" s="3"/>
      <c r="AB21" s="3">
        <v>1618.06</v>
      </c>
      <c r="AC21" s="4">
        <f t="shared" si="8"/>
        <v>1618.06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49993.759999999995</v>
      </c>
      <c r="AO21" s="4">
        <f t="shared" si="14"/>
        <v>49993.759999999995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8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1020</v>
      </c>
      <c r="Z22" s="4">
        <f t="shared" si="7"/>
        <v>1020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1620</v>
      </c>
      <c r="AO22" s="4">
        <f t="shared" si="14"/>
        <v>1620</v>
      </c>
    </row>
    <row r="23" spans="1:41" ht="28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8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4.75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>
        <f t="shared" ref="F24" si="15">E24+D24</f>
        <v>0</v>
      </c>
      <c r="G24" s="4">
        <f t="shared" ref="G24" si="16">F24+E24</f>
        <v>0</v>
      </c>
      <c r="H24" s="4">
        <f t="shared" si="1"/>
        <v>0</v>
      </c>
      <c r="I24" s="4">
        <f t="shared" ref="I24" si="17">H24+G24</f>
        <v>0</v>
      </c>
      <c r="J24" s="4"/>
      <c r="K24" s="4">
        <f t="shared" si="2"/>
        <v>0</v>
      </c>
      <c r="L24" s="4"/>
      <c r="M24" s="4"/>
      <c r="N24" s="4">
        <f t="shared" si="3"/>
        <v>0</v>
      </c>
      <c r="O24" s="4">
        <f t="shared" ref="O24" si="18">N24+M24</f>
        <v>0</v>
      </c>
      <c r="P24" s="4">
        <f t="shared" ref="P24" si="19">O24+N24</f>
        <v>0</v>
      </c>
      <c r="Q24" s="4">
        <f t="shared" si="4"/>
        <v>0</v>
      </c>
      <c r="R24" s="4">
        <f t="shared" ref="R24" si="20">Q24+P24</f>
        <v>0</v>
      </c>
      <c r="S24" s="4">
        <f t="shared" ref="S24" si="21">R24+Q24</f>
        <v>0</v>
      </c>
      <c r="T24" s="4">
        <f t="shared" si="5"/>
        <v>0</v>
      </c>
      <c r="U24" s="4">
        <f t="shared" ref="U24" si="22">T24+S24</f>
        <v>0</v>
      </c>
      <c r="V24" s="4">
        <f t="shared" ref="V24" si="23">U24+T24</f>
        <v>0</v>
      </c>
      <c r="W24" s="4">
        <f t="shared" si="6"/>
        <v>0</v>
      </c>
      <c r="X24" s="4">
        <f t="shared" ref="X24" si="24">W24+V24</f>
        <v>0</v>
      </c>
      <c r="Y24" s="4">
        <f t="shared" ref="Y24" si="25">X24+W24</f>
        <v>0</v>
      </c>
      <c r="Z24" s="4">
        <f t="shared" si="7"/>
        <v>0</v>
      </c>
      <c r="AA24" s="4">
        <f t="shared" ref="AA24" si="26">Z24+Y24</f>
        <v>0</v>
      </c>
      <c r="AB24" s="4">
        <f t="shared" ref="AB24" si="27">AA24+Z24</f>
        <v>0</v>
      </c>
      <c r="AC24" s="4">
        <f t="shared" si="8"/>
        <v>0</v>
      </c>
      <c r="AD24" s="4">
        <f t="shared" ref="AD24" si="28">AC24+AB24</f>
        <v>0</v>
      </c>
      <c r="AE24" s="4">
        <f t="shared" ref="AE24" si="29">AD24+AC24</f>
        <v>0</v>
      </c>
      <c r="AF24" s="4">
        <f t="shared" si="9"/>
        <v>0</v>
      </c>
      <c r="AG24" s="4">
        <f t="shared" ref="AG24" si="30">AF24+AE24</f>
        <v>0</v>
      </c>
      <c r="AH24" s="4">
        <f t="shared" ref="AH24" si="31">AG24+AF24</f>
        <v>0</v>
      </c>
      <c r="AI24" s="4">
        <f t="shared" si="10"/>
        <v>0</v>
      </c>
      <c r="AJ24" s="4">
        <f t="shared" ref="AJ24" si="32">AI24+AH24</f>
        <v>0</v>
      </c>
      <c r="AK24" s="4">
        <f t="shared" ref="AK24" si="33">AJ24+AI24</f>
        <v>0</v>
      </c>
      <c r="AL24" s="4">
        <f t="shared" si="11"/>
        <v>0</v>
      </c>
      <c r="AM24" s="4">
        <f t="shared" ref="AM24" si="34">AL24+AK24</f>
        <v>0</v>
      </c>
      <c r="AN24" s="4">
        <f t="shared" si="13"/>
        <v>0</v>
      </c>
      <c r="AO24" s="4">
        <f t="shared" si="14"/>
        <v>0</v>
      </c>
    </row>
    <row r="25" spans="1:41" ht="35.2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1435</v>
      </c>
      <c r="H29" s="4">
        <f t="shared" si="1"/>
        <v>1435</v>
      </c>
      <c r="I29" s="4"/>
      <c r="J29" s="4">
        <v>1435</v>
      </c>
      <c r="K29" s="4">
        <f t="shared" si="2"/>
        <v>1435</v>
      </c>
      <c r="L29" s="4"/>
      <c r="M29" s="4">
        <v>2360</v>
      </c>
      <c r="N29" s="4">
        <f t="shared" si="3"/>
        <v>2360</v>
      </c>
      <c r="O29" s="8"/>
      <c r="P29" s="3">
        <v>1435</v>
      </c>
      <c r="Q29" s="4">
        <f t="shared" si="4"/>
        <v>1435</v>
      </c>
      <c r="R29" s="3"/>
      <c r="S29" s="3">
        <v>1435</v>
      </c>
      <c r="T29" s="4">
        <f t="shared" si="5"/>
        <v>1435</v>
      </c>
      <c r="U29" s="3"/>
      <c r="V29" s="3">
        <v>2360</v>
      </c>
      <c r="W29" s="4">
        <f t="shared" si="6"/>
        <v>2360</v>
      </c>
      <c r="X29" s="3"/>
      <c r="Y29" s="3">
        <v>1435</v>
      </c>
      <c r="Z29" s="4">
        <f t="shared" si="7"/>
        <v>1435</v>
      </c>
      <c r="AA29" s="3"/>
      <c r="AB29" s="4">
        <v>1435</v>
      </c>
      <c r="AC29" s="4">
        <f t="shared" si="8"/>
        <v>1435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13330</v>
      </c>
      <c r="AO29" s="4">
        <f t="shared" si="14"/>
        <v>13330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35">SUM(D9:D28)</f>
        <v>241504.58000000002</v>
      </c>
      <c r="E30" s="8">
        <f t="shared" si="35"/>
        <v>241504.58000000002</v>
      </c>
      <c r="F30" s="8">
        <f t="shared" si="35"/>
        <v>0</v>
      </c>
      <c r="G30" s="8">
        <f t="shared" si="35"/>
        <v>903198.47</v>
      </c>
      <c r="H30" s="8">
        <f t="shared" si="35"/>
        <v>903198.47</v>
      </c>
      <c r="I30" s="8">
        <f t="shared" si="35"/>
        <v>0</v>
      </c>
      <c r="J30" s="8">
        <f t="shared" si="35"/>
        <v>742986.76000000013</v>
      </c>
      <c r="K30" s="8">
        <f>J30+I30</f>
        <v>742986.76000000013</v>
      </c>
      <c r="L30" s="8">
        <f t="shared" si="35"/>
        <v>0</v>
      </c>
      <c r="M30" s="8">
        <f t="shared" si="35"/>
        <v>428214.82999999996</v>
      </c>
      <c r="N30" s="8">
        <f>M30+L30</f>
        <v>428214.82999999996</v>
      </c>
      <c r="O30" s="8">
        <f t="shared" si="35"/>
        <v>0</v>
      </c>
      <c r="P30" s="8">
        <f t="shared" si="35"/>
        <v>276351.31999999995</v>
      </c>
      <c r="Q30" s="8">
        <f>P30+O30</f>
        <v>276351.31999999995</v>
      </c>
      <c r="R30" s="8">
        <f t="shared" si="35"/>
        <v>0</v>
      </c>
      <c r="S30" s="8">
        <f t="shared" si="35"/>
        <v>297211.88999999996</v>
      </c>
      <c r="T30" s="8">
        <f>S30+R30</f>
        <v>297211.88999999996</v>
      </c>
      <c r="U30" s="8">
        <f t="shared" si="35"/>
        <v>0</v>
      </c>
      <c r="V30" s="8">
        <f t="shared" si="35"/>
        <v>227145.32</v>
      </c>
      <c r="W30" s="8">
        <f>V30+U30</f>
        <v>227145.32</v>
      </c>
      <c r="X30" s="8">
        <f t="shared" si="35"/>
        <v>0</v>
      </c>
      <c r="Y30" s="8">
        <f t="shared" si="35"/>
        <v>205562.38999999996</v>
      </c>
      <c r="Z30" s="8">
        <f t="shared" si="7"/>
        <v>205562.38999999996</v>
      </c>
      <c r="AA30" s="8">
        <f t="shared" si="35"/>
        <v>0</v>
      </c>
      <c r="AB30" s="8">
        <f t="shared" si="35"/>
        <v>253524.48000000001</v>
      </c>
      <c r="AC30" s="8">
        <f>AB30+AA30</f>
        <v>253524.48000000001</v>
      </c>
      <c r="AD30" s="8">
        <f t="shared" si="35"/>
        <v>0</v>
      </c>
      <c r="AE30" s="8">
        <f t="shared" si="35"/>
        <v>0</v>
      </c>
      <c r="AF30" s="8">
        <f>AE30+AD30</f>
        <v>0</v>
      </c>
      <c r="AG30" s="8">
        <f t="shared" si="35"/>
        <v>0</v>
      </c>
      <c r="AH30" s="8">
        <f t="shared" si="35"/>
        <v>0</v>
      </c>
      <c r="AI30" s="8">
        <f>AH30+AG30</f>
        <v>0</v>
      </c>
      <c r="AJ30" s="8">
        <f t="shared" si="35"/>
        <v>0</v>
      </c>
      <c r="AK30" s="8">
        <f t="shared" si="35"/>
        <v>0</v>
      </c>
      <c r="AL30" s="8">
        <f>AK30+AJ30</f>
        <v>0</v>
      </c>
      <c r="AM30" s="8">
        <f t="shared" si="35"/>
        <v>0</v>
      </c>
      <c r="AN30" s="8">
        <f t="shared" si="35"/>
        <v>3575700.0400000005</v>
      </c>
      <c r="AO30" s="8">
        <f t="shared" si="35"/>
        <v>3575700.0400000005</v>
      </c>
    </row>
    <row r="32" spans="1:41">
      <c r="V32">
        <v>2387.98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Q35"/>
  <sheetViews>
    <sheetView workbookViewId="0">
      <pane xSplit="2" ySplit="8" topLeftCell="S15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1.44140625" customWidth="1"/>
    <col min="5" max="5" width="12.44140625" customWidth="1"/>
    <col min="6" max="6" width="11.6640625" customWidth="1"/>
    <col min="7" max="7" width="10.88671875" customWidth="1"/>
    <col min="8" max="8" width="10.44140625" customWidth="1"/>
    <col min="9" max="9" width="11.109375" customWidth="1"/>
    <col min="10" max="10" width="10.88671875" customWidth="1"/>
    <col min="11" max="11" width="10.44140625" customWidth="1"/>
    <col min="12" max="12" width="12.44140625" customWidth="1"/>
    <col min="13" max="13" width="10.6640625" customWidth="1"/>
    <col min="14" max="14" width="10.44140625" customWidth="1"/>
    <col min="15" max="15" width="13.5546875" customWidth="1"/>
    <col min="16" max="16" width="10.88671875" customWidth="1"/>
    <col min="17" max="18" width="11.44140625" customWidth="1"/>
    <col min="19" max="19" width="11.109375" customWidth="1"/>
    <col min="20" max="20" width="11.33203125" customWidth="1"/>
    <col min="21" max="21" width="12.33203125" customWidth="1"/>
    <col min="22" max="22" width="11" customWidth="1"/>
    <col min="23" max="23" width="10.6640625" customWidth="1"/>
    <col min="24" max="24" width="11.44140625" customWidth="1"/>
    <col min="25" max="25" width="11" customWidth="1"/>
    <col min="26" max="26" width="10.88671875" customWidth="1"/>
    <col min="27" max="27" width="11.44140625" customWidth="1"/>
    <col min="28" max="28" width="11.33203125" customWidth="1"/>
    <col min="29" max="29" width="10.5546875" customWidth="1"/>
    <col min="30" max="30" width="11.44140625" customWidth="1"/>
    <col min="31" max="32" width="11" customWidth="1"/>
    <col min="33" max="33" width="11.33203125" customWidth="1"/>
    <col min="34" max="34" width="12" customWidth="1"/>
    <col min="35" max="35" width="12.33203125" customWidth="1"/>
    <col min="36" max="36" width="11.88671875" customWidth="1"/>
    <col min="37" max="38" width="12.109375" customWidth="1"/>
    <col min="39" max="39" width="13" customWidth="1"/>
    <col min="40" max="40" width="13.33203125" customWidth="1"/>
    <col min="41" max="41" width="12.5546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1.25" customHeight="1">
      <c r="L3" s="1"/>
      <c r="M3" s="1"/>
      <c r="N3" s="1"/>
      <c r="O3" s="1"/>
      <c r="R3" s="1" t="s">
        <v>33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41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207306.69</v>
      </c>
      <c r="E9" s="4">
        <f>D9+C9</f>
        <v>207306.69</v>
      </c>
      <c r="F9" s="4"/>
      <c r="G9" s="4">
        <v>212584.15</v>
      </c>
      <c r="H9" s="4">
        <f>G9+F9</f>
        <v>212584.15</v>
      </c>
      <c r="I9" s="4"/>
      <c r="J9" s="4">
        <v>193722.57</v>
      </c>
      <c r="K9" s="4">
        <f>J9+I9</f>
        <v>193722.57</v>
      </c>
      <c r="L9" s="4"/>
      <c r="M9" s="4">
        <v>167550.14000000001</v>
      </c>
      <c r="N9" s="4">
        <f>M9+L9</f>
        <v>167550.14000000001</v>
      </c>
      <c r="O9" s="4"/>
      <c r="P9" s="3">
        <v>199757.94</v>
      </c>
      <c r="Q9" s="4">
        <f>P9+O9</f>
        <v>199757.94</v>
      </c>
      <c r="R9" s="3"/>
      <c r="S9" s="3">
        <v>239277.6</v>
      </c>
      <c r="T9" s="4">
        <f>S9+R9</f>
        <v>239277.6</v>
      </c>
      <c r="U9" s="3"/>
      <c r="V9" s="3">
        <v>158774.92000000001</v>
      </c>
      <c r="W9" s="4">
        <f>V9+U9</f>
        <v>158774.92000000001</v>
      </c>
      <c r="X9" s="3"/>
      <c r="Y9" s="3">
        <v>148808.03</v>
      </c>
      <c r="Z9" s="4">
        <f>Y9+X9</f>
        <v>148808.03</v>
      </c>
      <c r="AA9" s="3"/>
      <c r="AB9" s="3">
        <f>217401.5</f>
        <v>217401.5</v>
      </c>
      <c r="AC9" s="4">
        <f>AB9+AA9</f>
        <v>217401.5</v>
      </c>
      <c r="AD9" s="3"/>
      <c r="AE9" s="3"/>
      <c r="AF9" s="4">
        <f>AE9+AD9</f>
        <v>0</v>
      </c>
      <c r="AG9" s="4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1745183.5399999998</v>
      </c>
      <c r="AO9" s="4">
        <f>AL9+AI9+AF9+AC9+Z9+W9+T9+Q9+N9+K9+H9+E9</f>
        <v>1745183.5399999998</v>
      </c>
    </row>
    <row r="10" spans="1:41" ht="20.100000000000001" customHeight="1">
      <c r="A10" s="3">
        <v>2120</v>
      </c>
      <c r="B10" s="3" t="s">
        <v>1</v>
      </c>
      <c r="C10" s="4"/>
      <c r="D10" s="4">
        <v>46197.919999999998</v>
      </c>
      <c r="E10" s="4">
        <f t="shared" ref="E10:E29" si="0">D10+C10</f>
        <v>46197.919999999998</v>
      </c>
      <c r="F10" s="4"/>
      <c r="G10" s="4">
        <v>51046.38</v>
      </c>
      <c r="H10" s="4">
        <f t="shared" ref="H10:H29" si="1">G10+F10</f>
        <v>51046.38</v>
      </c>
      <c r="I10" s="4"/>
      <c r="J10" s="4">
        <v>56089.71</v>
      </c>
      <c r="K10" s="4">
        <f t="shared" ref="K10:K29" si="2">J10+I10</f>
        <v>56089.71</v>
      </c>
      <c r="L10" s="4"/>
      <c r="M10" s="4">
        <v>38089.26</v>
      </c>
      <c r="N10" s="4">
        <f t="shared" ref="N10:N29" si="3">M10+L10</f>
        <v>38089.26</v>
      </c>
      <c r="O10" s="4"/>
      <c r="P10" s="3">
        <v>44011.78</v>
      </c>
      <c r="Q10" s="4">
        <f t="shared" ref="Q10:Q29" si="4">P10+O10</f>
        <v>44011.78</v>
      </c>
      <c r="R10" s="3"/>
      <c r="S10" s="3">
        <v>53036.04</v>
      </c>
      <c r="T10" s="4">
        <f t="shared" ref="T10:T29" si="5">S10+R10</f>
        <v>53036.04</v>
      </c>
      <c r="U10" s="3"/>
      <c r="V10" s="3">
        <v>36218.06</v>
      </c>
      <c r="W10" s="4">
        <f t="shared" ref="W10:W29" si="6">V10+U10</f>
        <v>36218.06</v>
      </c>
      <c r="X10" s="4"/>
      <c r="Y10" s="3">
        <v>32891.870000000003</v>
      </c>
      <c r="Z10" s="4">
        <f t="shared" ref="Z10:Z30" si="7">Y10+X10</f>
        <v>32891.870000000003</v>
      </c>
      <c r="AA10" s="3"/>
      <c r="AB10" s="3">
        <v>47828.33</v>
      </c>
      <c r="AC10" s="4">
        <f t="shared" ref="AC10:AC29" si="8">AB10+AA10</f>
        <v>47828.33</v>
      </c>
      <c r="AD10" s="3"/>
      <c r="AE10" s="4"/>
      <c r="AF10" s="4">
        <f t="shared" ref="AF10:AF29" si="9">AE10+AD10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405409.35000000003</v>
      </c>
      <c r="AO10" s="4">
        <f t="shared" ref="AO10:AO29" si="14">AL10+AI10+AF10+AC10+Z10+W10+T10+Q10+N10+K10+H10+E10</f>
        <v>405409.35000000003</v>
      </c>
    </row>
    <row r="11" spans="1:41" ht="20.100000000000001" customHeight="1">
      <c r="A11" s="3">
        <v>2210</v>
      </c>
      <c r="B11" s="3" t="s">
        <v>2</v>
      </c>
      <c r="C11" s="4"/>
      <c r="D11" s="4">
        <v>737.51</v>
      </c>
      <c r="E11" s="4">
        <f t="shared" si="0"/>
        <v>737.51</v>
      </c>
      <c r="F11" s="4"/>
      <c r="G11" s="4">
        <v>570.19000000000005</v>
      </c>
      <c r="H11" s="4">
        <f t="shared" si="1"/>
        <v>570.19000000000005</v>
      </c>
      <c r="I11" s="4"/>
      <c r="J11" s="4">
        <v>602.71</v>
      </c>
      <c r="K11" s="4">
        <f t="shared" si="2"/>
        <v>602.71</v>
      </c>
      <c r="L11" s="4"/>
      <c r="M11" s="4">
        <v>614.97</v>
      </c>
      <c r="N11" s="4">
        <f t="shared" si="3"/>
        <v>614.97</v>
      </c>
      <c r="O11" s="8"/>
      <c r="P11" s="3">
        <v>1521.94</v>
      </c>
      <c r="Q11" s="4">
        <f t="shared" si="4"/>
        <v>1521.94</v>
      </c>
      <c r="R11" s="3"/>
      <c r="S11" s="3">
        <v>395.18</v>
      </c>
      <c r="T11" s="4">
        <f t="shared" si="5"/>
        <v>395.18</v>
      </c>
      <c r="U11" s="3"/>
      <c r="V11" s="3">
        <v>427.27</v>
      </c>
      <c r="W11" s="4">
        <f t="shared" si="6"/>
        <v>427.27</v>
      </c>
      <c r="X11" s="3"/>
      <c r="Y11" s="3">
        <v>565.52</v>
      </c>
      <c r="Z11" s="4">
        <f t="shared" si="7"/>
        <v>565.52</v>
      </c>
      <c r="AA11" s="3"/>
      <c r="AB11" s="3">
        <v>670.33</v>
      </c>
      <c r="AC11" s="4">
        <f t="shared" si="8"/>
        <v>670.33</v>
      </c>
      <c r="AD11" s="3"/>
      <c r="AE11" s="3"/>
      <c r="AF11" s="4">
        <f t="shared" si="9"/>
        <v>0</v>
      </c>
      <c r="AG11" s="3"/>
      <c r="AH11" s="3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6105.6200000000008</v>
      </c>
      <c r="AO11" s="4">
        <f t="shared" si="14"/>
        <v>6105.6200000000008</v>
      </c>
    </row>
    <row r="12" spans="1:41" ht="20.100000000000001" customHeight="1">
      <c r="A12" s="3">
        <v>2220</v>
      </c>
      <c r="B12" s="3" t="s">
        <v>3</v>
      </c>
      <c r="C12" s="4"/>
      <c r="D12" s="4">
        <v>280</v>
      </c>
      <c r="E12" s="4">
        <f t="shared" si="0"/>
        <v>280</v>
      </c>
      <c r="F12" s="4"/>
      <c r="G12" s="4">
        <v>280</v>
      </c>
      <c r="H12" s="4">
        <f t="shared" si="1"/>
        <v>280</v>
      </c>
      <c r="I12" s="4"/>
      <c r="J12" s="4"/>
      <c r="K12" s="4">
        <f t="shared" si="2"/>
        <v>0</v>
      </c>
      <c r="L12" s="4"/>
      <c r="M12" s="4">
        <v>342.5</v>
      </c>
      <c r="N12" s="4">
        <f t="shared" si="3"/>
        <v>342.5</v>
      </c>
      <c r="O12" s="8"/>
      <c r="P12" s="3">
        <v>337.25</v>
      </c>
      <c r="Q12" s="4">
        <f t="shared" si="4"/>
        <v>337.25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>
        <v>325</v>
      </c>
      <c r="Z12" s="4">
        <f t="shared" si="7"/>
        <v>325</v>
      </c>
      <c r="AA12" s="3"/>
      <c r="AB12" s="3">
        <v>325</v>
      </c>
      <c r="AC12" s="4">
        <f t="shared" si="8"/>
        <v>325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1889.75</v>
      </c>
      <c r="AO12" s="4">
        <f t="shared" si="14"/>
        <v>1889.75</v>
      </c>
    </row>
    <row r="13" spans="1:41" ht="20.100000000000001" customHeight="1">
      <c r="A13" s="3">
        <v>2230</v>
      </c>
      <c r="B13" s="3" t="s">
        <v>4</v>
      </c>
      <c r="C13" s="4"/>
      <c r="D13" s="4">
        <v>6946.04</v>
      </c>
      <c r="E13" s="4">
        <f t="shared" si="0"/>
        <v>6946.04</v>
      </c>
      <c r="F13" s="4"/>
      <c r="G13" s="4">
        <v>7206.74</v>
      </c>
      <c r="H13" s="4">
        <f t="shared" si="1"/>
        <v>7206.74</v>
      </c>
      <c r="I13" s="4"/>
      <c r="J13" s="4">
        <v>9819.66</v>
      </c>
      <c r="K13" s="4">
        <f t="shared" si="2"/>
        <v>9819.66</v>
      </c>
      <c r="L13" s="4"/>
      <c r="M13" s="4">
        <v>10358.23</v>
      </c>
      <c r="N13" s="4">
        <f t="shared" si="3"/>
        <v>10358.23</v>
      </c>
      <c r="O13" s="4"/>
      <c r="P13" s="3">
        <v>10625.74</v>
      </c>
      <c r="Q13" s="4">
        <f t="shared" si="4"/>
        <v>10625.74</v>
      </c>
      <c r="R13" s="3"/>
      <c r="S13" s="3">
        <v>9525.83</v>
      </c>
      <c r="T13" s="4">
        <f t="shared" si="5"/>
        <v>9525.83</v>
      </c>
      <c r="U13" s="3"/>
      <c r="V13" s="3">
        <v>9499.0300000000007</v>
      </c>
      <c r="W13" s="4">
        <f t="shared" si="6"/>
        <v>9499.0300000000007</v>
      </c>
      <c r="X13" s="3"/>
      <c r="Y13" s="3">
        <v>8285.07</v>
      </c>
      <c r="Z13" s="4">
        <f t="shared" si="7"/>
        <v>8285.07</v>
      </c>
      <c r="AA13" s="3"/>
      <c r="AB13" s="3">
        <v>8638.7199999999993</v>
      </c>
      <c r="AC13" s="4">
        <f t="shared" si="8"/>
        <v>8638.7199999999993</v>
      </c>
      <c r="AD13" s="3"/>
      <c r="AE13" s="3"/>
      <c r="AF13" s="4">
        <f t="shared" si="9"/>
        <v>0</v>
      </c>
      <c r="AG13" s="3"/>
      <c r="AH13" s="4"/>
      <c r="AI13" s="4">
        <f t="shared" si="10"/>
        <v>0</v>
      </c>
      <c r="AJ13" s="3"/>
      <c r="AK13" s="3"/>
      <c r="AL13" s="4">
        <f t="shared" si="11"/>
        <v>0</v>
      </c>
      <c r="AM13" s="4">
        <f t="shared" si="12"/>
        <v>0</v>
      </c>
      <c r="AN13" s="4">
        <f t="shared" si="13"/>
        <v>80905.06</v>
      </c>
      <c r="AO13" s="4">
        <f t="shared" si="14"/>
        <v>80905.06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110+4400</f>
        <v>4510</v>
      </c>
      <c r="H14" s="4">
        <f t="shared" si="1"/>
        <v>4510</v>
      </c>
      <c r="I14" s="4"/>
      <c r="J14" s="4">
        <f>10973.11+110</f>
        <v>11083.11</v>
      </c>
      <c r="K14" s="4">
        <f t="shared" si="2"/>
        <v>11083.11</v>
      </c>
      <c r="L14" s="4"/>
      <c r="M14" s="4">
        <f>110+11328.81</f>
        <v>11438.81</v>
      </c>
      <c r="N14" s="4">
        <f t="shared" si="3"/>
        <v>11438.81</v>
      </c>
      <c r="O14" s="4"/>
      <c r="P14" s="3">
        <f>7573.81+110</f>
        <v>7683.81</v>
      </c>
      <c r="Q14" s="4">
        <f t="shared" si="4"/>
        <v>7683.81</v>
      </c>
      <c r="R14" s="3"/>
      <c r="S14" s="3">
        <f>8173.81+110</f>
        <v>8283.8100000000013</v>
      </c>
      <c r="T14" s="4">
        <f t="shared" si="5"/>
        <v>8283.8100000000013</v>
      </c>
      <c r="U14" s="3"/>
      <c r="V14" s="3">
        <f>15654.22+110</f>
        <v>15764.22</v>
      </c>
      <c r="W14" s="4">
        <f t="shared" si="6"/>
        <v>15764.22</v>
      </c>
      <c r="X14" s="3"/>
      <c r="Y14" s="3">
        <f>110+19272.21</f>
        <v>19382.21</v>
      </c>
      <c r="Z14" s="4">
        <f t="shared" si="7"/>
        <v>19382.21</v>
      </c>
      <c r="AA14" s="3"/>
      <c r="AB14" s="3">
        <f>12821.65+110</f>
        <v>12931.65</v>
      </c>
      <c r="AC14" s="4">
        <f t="shared" si="8"/>
        <v>12931.65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91077.62</v>
      </c>
      <c r="AO14" s="4">
        <f t="shared" si="14"/>
        <v>91077.62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4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3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3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/>
      <c r="H17" s="4">
        <f t="shared" si="1"/>
        <v>0</v>
      </c>
      <c r="I17" s="4"/>
      <c r="J17" s="4"/>
      <c r="K17" s="4">
        <f t="shared" si="2"/>
        <v>0</v>
      </c>
      <c r="L17" s="4"/>
      <c r="M17" s="4"/>
      <c r="N17" s="4">
        <f t="shared" si="3"/>
        <v>0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0</v>
      </c>
      <c r="AO17" s="4">
        <f t="shared" si="14"/>
        <v>0</v>
      </c>
    </row>
    <row r="18" spans="1:43" ht="20.100000000000001" customHeight="1">
      <c r="A18" s="3">
        <v>2272</v>
      </c>
      <c r="B18" s="3" t="s">
        <v>9</v>
      </c>
      <c r="C18" s="4"/>
      <c r="D18" s="4">
        <f>122.65+490.61</f>
        <v>613.26</v>
      </c>
      <c r="E18" s="4">
        <f t="shared" si="0"/>
        <v>613.26</v>
      </c>
      <c r="F18" s="4"/>
      <c r="G18" s="4">
        <f>122.65+449.73</f>
        <v>572.38</v>
      </c>
      <c r="H18" s="4">
        <f t="shared" si="1"/>
        <v>572.38</v>
      </c>
      <c r="I18" s="4"/>
      <c r="J18" s="4">
        <f>367.96+1308.28</f>
        <v>1676.24</v>
      </c>
      <c r="K18" s="4">
        <f t="shared" si="2"/>
        <v>1676.24</v>
      </c>
      <c r="L18" s="4"/>
      <c r="M18" s="4"/>
      <c r="N18" s="4">
        <f t="shared" si="3"/>
        <v>0</v>
      </c>
      <c r="O18" s="4"/>
      <c r="P18" s="3">
        <f>367.96+1430.94</f>
        <v>1798.9</v>
      </c>
      <c r="Q18" s="4">
        <f t="shared" si="4"/>
        <v>1798.9</v>
      </c>
      <c r="R18" s="3"/>
      <c r="S18" s="3">
        <f>86.54+391.84</f>
        <v>478.38</v>
      </c>
      <c r="T18" s="4">
        <f t="shared" si="5"/>
        <v>478.38</v>
      </c>
      <c r="U18" s="3"/>
      <c r="V18" s="3">
        <f>91.32+319.62</f>
        <v>410.94</v>
      </c>
      <c r="W18" s="4">
        <f t="shared" si="6"/>
        <v>410.94</v>
      </c>
      <c r="X18" s="3"/>
      <c r="Y18" s="16">
        <f>91.32+365.28</f>
        <v>456.59999999999997</v>
      </c>
      <c r="Z18" s="4">
        <f t="shared" si="7"/>
        <v>456.59999999999997</v>
      </c>
      <c r="AA18" s="3"/>
      <c r="AB18" s="3">
        <f>91.32+365.28</f>
        <v>456.59999999999997</v>
      </c>
      <c r="AC18" s="4">
        <f t="shared" si="8"/>
        <v>456.59999999999997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6463.3</v>
      </c>
      <c r="AO18" s="4">
        <f t="shared" si="14"/>
        <v>6463.3</v>
      </c>
    </row>
    <row r="19" spans="1:43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f>7920.62+29546.75</f>
        <v>37467.370000000003</v>
      </c>
      <c r="H19" s="4">
        <f t="shared" si="1"/>
        <v>37467.370000000003</v>
      </c>
      <c r="I19" s="4"/>
      <c r="J19" s="4">
        <f>5832.41+23715.37</f>
        <v>29547.78</v>
      </c>
      <c r="K19" s="4">
        <f t="shared" si="2"/>
        <v>29547.78</v>
      </c>
      <c r="L19" s="4"/>
      <c r="M19" s="4">
        <f>5913.13+23397.37</f>
        <v>29310.5</v>
      </c>
      <c r="N19" s="4">
        <f t="shared" si="3"/>
        <v>29310.5</v>
      </c>
      <c r="O19" s="4"/>
      <c r="P19" s="3">
        <f>5533.76+21695.98</f>
        <v>27229.739999999998</v>
      </c>
      <c r="Q19" s="4">
        <f t="shared" si="4"/>
        <v>27229.739999999998</v>
      </c>
      <c r="R19" s="3"/>
      <c r="S19" s="3">
        <f>4236.02+13669.59</f>
        <v>17905.61</v>
      </c>
      <c r="T19" s="4">
        <f t="shared" si="5"/>
        <v>17905.61</v>
      </c>
      <c r="U19" s="3"/>
      <c r="V19" s="3">
        <f>2512.76+9357.86</f>
        <v>11870.62</v>
      </c>
      <c r="W19" s="4">
        <f t="shared" si="6"/>
        <v>11870.62</v>
      </c>
      <c r="X19" s="3"/>
      <c r="Y19" s="4">
        <f>1460.05+5431.02</f>
        <v>6891.0700000000006</v>
      </c>
      <c r="Z19" s="4">
        <f t="shared" si="7"/>
        <v>6891.0700000000006</v>
      </c>
      <c r="AA19" s="3"/>
      <c r="AB19" s="3">
        <f>1531.87+5732.9</f>
        <v>7264.7699999999995</v>
      </c>
      <c r="AC19" s="4">
        <f t="shared" si="8"/>
        <v>7264.7699999999995</v>
      </c>
      <c r="AD19" s="3"/>
      <c r="AE19" s="3"/>
      <c r="AF19" s="4">
        <f t="shared" si="9"/>
        <v>0</v>
      </c>
      <c r="AG19" s="3"/>
      <c r="AH19" s="4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167487.46</v>
      </c>
      <c r="AO19" s="4">
        <f t="shared" si="14"/>
        <v>167487.46</v>
      </c>
    </row>
    <row r="20" spans="1:43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3" ht="20.100000000000001" customHeight="1">
      <c r="A21" s="3">
        <v>2275</v>
      </c>
      <c r="B21" s="3" t="s">
        <v>12</v>
      </c>
      <c r="C21" s="4"/>
      <c r="D21" s="4">
        <v>192444.85</v>
      </c>
      <c r="E21" s="4">
        <f t="shared" si="0"/>
        <v>192444.85</v>
      </c>
      <c r="F21" s="4"/>
      <c r="G21" s="4">
        <v>168843.29</v>
      </c>
      <c r="H21" s="4">
        <f t="shared" si="1"/>
        <v>168843.29</v>
      </c>
      <c r="I21" s="4"/>
      <c r="J21" s="4">
        <v>69976.28</v>
      </c>
      <c r="K21" s="4">
        <f t="shared" si="2"/>
        <v>69976.28</v>
      </c>
      <c r="L21" s="4"/>
      <c r="M21" s="4">
        <v>178.65</v>
      </c>
      <c r="N21" s="4">
        <f t="shared" si="3"/>
        <v>178.65</v>
      </c>
      <c r="O21" s="4"/>
      <c r="P21" s="3">
        <v>249.41</v>
      </c>
      <c r="Q21" s="4">
        <f t="shared" si="4"/>
        <v>249.41</v>
      </c>
      <c r="R21" s="3"/>
      <c r="S21" s="3">
        <v>178.65</v>
      </c>
      <c r="T21" s="4">
        <f t="shared" si="5"/>
        <v>178.65</v>
      </c>
      <c r="U21" s="3"/>
      <c r="V21" s="3">
        <v>357.3</v>
      </c>
      <c r="W21" s="4">
        <f t="shared" si="6"/>
        <v>357.3</v>
      </c>
      <c r="X21" s="3"/>
      <c r="Y21" s="3">
        <v>7960.33</v>
      </c>
      <c r="Z21" s="4">
        <f t="shared" si="7"/>
        <v>7960.33</v>
      </c>
      <c r="AA21" s="3"/>
      <c r="AB21" s="3">
        <v>6754.42</v>
      </c>
      <c r="AC21" s="4">
        <f t="shared" si="8"/>
        <v>6754.42</v>
      </c>
      <c r="AD21" s="3"/>
      <c r="AE21" s="3"/>
      <c r="AF21" s="4">
        <f t="shared" si="9"/>
        <v>0</v>
      </c>
      <c r="AG21" s="3"/>
      <c r="AH21" s="4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446943.18000000005</v>
      </c>
      <c r="AO21" s="4">
        <f t="shared" si="14"/>
        <v>446943.18000000005</v>
      </c>
      <c r="AQ21">
        <v>83362</v>
      </c>
    </row>
    <row r="22" spans="1:43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320</v>
      </c>
      <c r="Z22" s="4">
        <f t="shared" si="7"/>
        <v>320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920</v>
      </c>
      <c r="AO22" s="4">
        <f t="shared" si="14"/>
        <v>920</v>
      </c>
    </row>
    <row r="23" spans="1:43" ht="24.7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3" ht="24.75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4"/>
      <c r="P24" s="4">
        <v>9735.2000000000007</v>
      </c>
      <c r="Q24" s="4">
        <f t="shared" si="4"/>
        <v>9735.2000000000007</v>
      </c>
      <c r="R24" s="4"/>
      <c r="S24" s="4"/>
      <c r="T24" s="4">
        <f t="shared" si="5"/>
        <v>0</v>
      </c>
      <c r="U24" s="4"/>
      <c r="V24" s="4"/>
      <c r="W24" s="4">
        <f t="shared" si="6"/>
        <v>0</v>
      </c>
      <c r="X24" s="4"/>
      <c r="Y24" s="4">
        <v>12723.72</v>
      </c>
      <c r="Z24" s="4">
        <f t="shared" si="7"/>
        <v>12723.72</v>
      </c>
      <c r="AA24" s="4"/>
      <c r="AB24" s="4"/>
      <c r="AC24" s="4">
        <f t="shared" si="8"/>
        <v>0</v>
      </c>
      <c r="AD24" s="4"/>
      <c r="AE24" s="4"/>
      <c r="AF24" s="4">
        <f t="shared" si="9"/>
        <v>0</v>
      </c>
      <c r="AG24" s="4"/>
      <c r="AH24" s="4"/>
      <c r="AI24" s="4">
        <f t="shared" si="10"/>
        <v>0</v>
      </c>
      <c r="AJ24" s="4"/>
      <c r="AK24" s="4"/>
      <c r="AL24" s="4">
        <f t="shared" si="11"/>
        <v>0</v>
      </c>
      <c r="AM24" s="4">
        <f t="shared" ref="AM24" si="15">AL24+AK24</f>
        <v>0</v>
      </c>
      <c r="AN24" s="4">
        <f t="shared" si="13"/>
        <v>22458.92</v>
      </c>
      <c r="AO24" s="4">
        <f t="shared" si="14"/>
        <v>22458.92</v>
      </c>
    </row>
    <row r="25" spans="1:43" ht="27.7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4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3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4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3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3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3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1435</v>
      </c>
      <c r="H29" s="4">
        <f t="shared" si="1"/>
        <v>1435</v>
      </c>
      <c r="I29" s="4"/>
      <c r="J29" s="4">
        <v>1435</v>
      </c>
      <c r="K29" s="4">
        <f t="shared" si="2"/>
        <v>1435</v>
      </c>
      <c r="L29" s="4"/>
      <c r="M29" s="4">
        <v>1985</v>
      </c>
      <c r="N29" s="4">
        <f t="shared" si="3"/>
        <v>1985</v>
      </c>
      <c r="O29" s="8"/>
      <c r="P29" s="3">
        <v>1435</v>
      </c>
      <c r="Q29" s="4">
        <f t="shared" si="4"/>
        <v>1435</v>
      </c>
      <c r="R29" s="3"/>
      <c r="S29" s="3">
        <v>1435</v>
      </c>
      <c r="T29" s="4">
        <f t="shared" si="5"/>
        <v>1435</v>
      </c>
      <c r="U29" s="3"/>
      <c r="V29" s="3">
        <v>1985</v>
      </c>
      <c r="W29" s="4">
        <f t="shared" si="6"/>
        <v>1985</v>
      </c>
      <c r="X29" s="3"/>
      <c r="Y29" s="3">
        <v>1435</v>
      </c>
      <c r="Z29" s="4">
        <f t="shared" si="7"/>
        <v>1435</v>
      </c>
      <c r="AA29" s="3"/>
      <c r="AB29" s="4">
        <v>1435</v>
      </c>
      <c r="AC29" s="4">
        <f t="shared" si="8"/>
        <v>1435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12580</v>
      </c>
      <c r="AO29" s="4">
        <f t="shared" si="14"/>
        <v>12580</v>
      </c>
    </row>
    <row r="30" spans="1:43" ht="33.75" customHeight="1">
      <c r="A30" s="7"/>
      <c r="B30" s="7" t="s">
        <v>30</v>
      </c>
      <c r="C30" s="8">
        <f>SUM(C9:C28)</f>
        <v>0</v>
      </c>
      <c r="D30" s="8">
        <f t="shared" ref="D30:AO30" si="16">SUM(D9:D28)</f>
        <v>454526.27</v>
      </c>
      <c r="E30" s="8">
        <f t="shared" si="16"/>
        <v>454526.27</v>
      </c>
      <c r="F30" s="8">
        <f t="shared" si="16"/>
        <v>0</v>
      </c>
      <c r="G30" s="8">
        <f>SUM(G9:G29)</f>
        <v>484515.5</v>
      </c>
      <c r="H30" s="8">
        <f>SUM(H9:H29)</f>
        <v>484515.5</v>
      </c>
      <c r="I30" s="8">
        <f t="shared" si="16"/>
        <v>0</v>
      </c>
      <c r="J30" s="8">
        <f t="shared" si="16"/>
        <v>372518.06000000006</v>
      </c>
      <c r="K30" s="8">
        <f>J30+I30</f>
        <v>372518.06000000006</v>
      </c>
      <c r="L30" s="8">
        <f t="shared" si="16"/>
        <v>0</v>
      </c>
      <c r="M30" s="8">
        <f t="shared" si="16"/>
        <v>257883.06000000003</v>
      </c>
      <c r="N30" s="8">
        <f>M30+L30</f>
        <v>257883.06000000003</v>
      </c>
      <c r="O30" s="8">
        <f t="shared" si="16"/>
        <v>0</v>
      </c>
      <c r="P30" s="8">
        <f t="shared" si="16"/>
        <v>302951.71000000002</v>
      </c>
      <c r="Q30" s="8">
        <f>P30+O30</f>
        <v>302951.71000000002</v>
      </c>
      <c r="R30" s="8">
        <f t="shared" si="16"/>
        <v>0</v>
      </c>
      <c r="S30" s="8">
        <f t="shared" si="16"/>
        <v>329681.10000000003</v>
      </c>
      <c r="T30" s="8">
        <f>S30+R30</f>
        <v>329681.10000000003</v>
      </c>
      <c r="U30" s="8">
        <f t="shared" si="16"/>
        <v>0</v>
      </c>
      <c r="V30" s="8">
        <f t="shared" si="16"/>
        <v>233322.36</v>
      </c>
      <c r="W30" s="8">
        <f>V30+U30</f>
        <v>233322.36</v>
      </c>
      <c r="X30" s="8">
        <f t="shared" si="16"/>
        <v>0</v>
      </c>
      <c r="Y30" s="8">
        <f t="shared" si="16"/>
        <v>238609.41999999998</v>
      </c>
      <c r="Z30" s="8">
        <f t="shared" si="7"/>
        <v>238609.41999999998</v>
      </c>
      <c r="AA30" s="8">
        <f t="shared" si="16"/>
        <v>0</v>
      </c>
      <c r="AB30" s="8">
        <f t="shared" si="16"/>
        <v>302271.32</v>
      </c>
      <c r="AC30" s="8">
        <f>AB30+AA30</f>
        <v>302271.32</v>
      </c>
      <c r="AD30" s="8">
        <f t="shared" si="16"/>
        <v>0</v>
      </c>
      <c r="AE30" s="8">
        <f t="shared" si="16"/>
        <v>0</v>
      </c>
      <c r="AF30" s="8">
        <f>AE30+AD30</f>
        <v>0</v>
      </c>
      <c r="AG30" s="8">
        <f t="shared" si="16"/>
        <v>0</v>
      </c>
      <c r="AH30" s="8">
        <f t="shared" si="16"/>
        <v>0</v>
      </c>
      <c r="AI30" s="8">
        <f>AH30+AG30</f>
        <v>0</v>
      </c>
      <c r="AJ30" s="8">
        <f t="shared" si="16"/>
        <v>0</v>
      </c>
      <c r="AK30" s="8">
        <f t="shared" si="16"/>
        <v>0</v>
      </c>
      <c r="AL30" s="8">
        <f>AK30+AJ30</f>
        <v>0</v>
      </c>
      <c r="AM30" s="8">
        <f t="shared" si="16"/>
        <v>0</v>
      </c>
      <c r="AN30" s="8">
        <f t="shared" si="16"/>
        <v>2974843.8</v>
      </c>
      <c r="AO30" s="8">
        <f t="shared" si="16"/>
        <v>2974843.8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O35"/>
  <sheetViews>
    <sheetView workbookViewId="0">
      <pane xSplit="2" ySplit="8" topLeftCell="R12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1" customWidth="1"/>
    <col min="5" max="6" width="11.6640625" customWidth="1"/>
    <col min="7" max="7" width="12.44140625" customWidth="1"/>
    <col min="8" max="8" width="12.33203125" customWidth="1"/>
    <col min="9" max="9" width="11.109375" customWidth="1"/>
    <col min="10" max="10" width="11.33203125" customWidth="1"/>
    <col min="11" max="12" width="12.44140625" customWidth="1"/>
    <col min="13" max="13" width="10.6640625" customWidth="1"/>
    <col min="14" max="14" width="12.109375" customWidth="1"/>
    <col min="15" max="15" width="13.5546875" customWidth="1"/>
    <col min="16" max="16" width="12.109375" customWidth="1"/>
    <col min="17" max="17" width="11.6640625" customWidth="1"/>
    <col min="18" max="18" width="12" customWidth="1"/>
    <col min="19" max="19" width="10.5546875" customWidth="1"/>
    <col min="20" max="20" width="13.109375" customWidth="1"/>
    <col min="21" max="21" width="10.109375" customWidth="1"/>
    <col min="22" max="22" width="11.44140625" customWidth="1"/>
    <col min="23" max="23" width="10.6640625" customWidth="1"/>
    <col min="24" max="24" width="11.44140625" customWidth="1"/>
    <col min="25" max="25" width="11.6640625" customWidth="1"/>
    <col min="26" max="26" width="10.5546875" customWidth="1"/>
    <col min="27" max="27" width="11.44140625" customWidth="1"/>
    <col min="28" max="28" width="11.109375" customWidth="1"/>
    <col min="29" max="29" width="10.44140625" customWidth="1"/>
    <col min="30" max="30" width="11.44140625" customWidth="1"/>
    <col min="31" max="31" width="10.5546875" customWidth="1"/>
    <col min="32" max="32" width="11.5546875" customWidth="1"/>
    <col min="33" max="33" width="11.33203125" customWidth="1"/>
    <col min="34" max="34" width="10.5546875" customWidth="1"/>
    <col min="35" max="35" width="10.6640625" customWidth="1"/>
    <col min="36" max="36" width="11.88671875" customWidth="1"/>
    <col min="37" max="37" width="10.5546875" customWidth="1"/>
    <col min="38" max="38" width="10.6640625" customWidth="1"/>
    <col min="39" max="39" width="12" customWidth="1"/>
    <col min="40" max="41" width="13.332031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1.25" customHeight="1">
      <c r="L3" s="1"/>
      <c r="M3" s="1"/>
      <c r="N3" s="1"/>
      <c r="O3" s="1"/>
      <c r="R3" s="1" t="s">
        <v>33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291572.23</v>
      </c>
      <c r="E9" s="4">
        <f>D9+C9</f>
        <v>291572.23</v>
      </c>
      <c r="F9" s="4"/>
      <c r="G9" s="4">
        <v>293444.01</v>
      </c>
      <c r="H9" s="4">
        <f>G9+F9</f>
        <v>293444.01</v>
      </c>
      <c r="I9" s="4"/>
      <c r="J9" s="4">
        <v>293606.45</v>
      </c>
      <c r="K9" s="4">
        <f>J9+I9</f>
        <v>293606.45</v>
      </c>
      <c r="L9" s="4"/>
      <c r="M9" s="4">
        <v>288862.58</v>
      </c>
      <c r="N9" s="4">
        <f>M9+L9</f>
        <v>288862.58</v>
      </c>
      <c r="O9" s="4"/>
      <c r="P9" s="3">
        <v>363779.97</v>
      </c>
      <c r="Q9" s="4">
        <f>P9+O9</f>
        <v>363779.97</v>
      </c>
      <c r="R9" s="3"/>
      <c r="S9" s="3">
        <v>395874.05</v>
      </c>
      <c r="T9" s="4">
        <f>S9+R9</f>
        <v>395874.05</v>
      </c>
      <c r="U9" s="3"/>
      <c r="V9" s="3">
        <v>185255.97</v>
      </c>
      <c r="W9" s="4">
        <f>V9+U9</f>
        <v>185255.97</v>
      </c>
      <c r="X9" s="3"/>
      <c r="Y9" s="3">
        <v>273129.05</v>
      </c>
      <c r="Z9" s="4">
        <f>Y9+X9</f>
        <v>273129.05</v>
      </c>
      <c r="AA9" s="3"/>
      <c r="AB9" s="3">
        <v>318781.65000000002</v>
      </c>
      <c r="AC9" s="4">
        <f>AB9+AA9</f>
        <v>318781.65000000002</v>
      </c>
      <c r="AD9" s="3"/>
      <c r="AE9" s="3"/>
      <c r="AF9" s="4">
        <f>AE9+AD9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2704305.9600000004</v>
      </c>
      <c r="AO9" s="4">
        <f>AL9+AI9+AF9+AC9+Z9+W9+T9+Q9+N9+K9+H9+E9</f>
        <v>2704305.9600000004</v>
      </c>
    </row>
    <row r="10" spans="1:41" ht="20.100000000000001" customHeight="1">
      <c r="A10" s="3">
        <v>2120</v>
      </c>
      <c r="B10" s="3" t="s">
        <v>1</v>
      </c>
      <c r="C10" s="4"/>
      <c r="D10" s="4">
        <v>63950.080000000002</v>
      </c>
      <c r="E10" s="4">
        <f t="shared" ref="E10:E29" si="0">D10+C10</f>
        <v>63950.080000000002</v>
      </c>
      <c r="F10" s="4"/>
      <c r="G10" s="4">
        <v>62904.82</v>
      </c>
      <c r="H10" s="4">
        <f t="shared" ref="H10:H29" si="1">G10+F10</f>
        <v>62904.82</v>
      </c>
      <c r="I10" s="4"/>
      <c r="J10" s="4">
        <v>63724.160000000003</v>
      </c>
      <c r="K10" s="4">
        <f t="shared" ref="K10:K29" si="2">J10+I10</f>
        <v>63724.160000000003</v>
      </c>
      <c r="L10" s="4"/>
      <c r="M10" s="4">
        <v>64011.06</v>
      </c>
      <c r="N10" s="4">
        <f t="shared" ref="N10:N29" si="3">M10+L10</f>
        <v>64011.06</v>
      </c>
      <c r="O10" s="4"/>
      <c r="P10" s="3">
        <v>79420.33</v>
      </c>
      <c r="Q10" s="4">
        <f t="shared" ref="Q10:Q29" si="4">P10+O10</f>
        <v>79420.33</v>
      </c>
      <c r="R10" s="3"/>
      <c r="S10" s="3">
        <v>85129.68</v>
      </c>
      <c r="T10" s="4">
        <f t="shared" ref="T10:T29" si="5">S10+R10</f>
        <v>85129.68</v>
      </c>
      <c r="U10" s="3"/>
      <c r="V10" s="3">
        <v>41028.199999999997</v>
      </c>
      <c r="W10" s="4">
        <f t="shared" ref="W10:W29" si="6">V10+U10</f>
        <v>41028.199999999997</v>
      </c>
      <c r="X10" s="3"/>
      <c r="Y10" s="3">
        <v>59173.66</v>
      </c>
      <c r="Z10" s="4">
        <f t="shared" ref="Z10:Z30" si="7">Y10+X10</f>
        <v>59173.66</v>
      </c>
      <c r="AA10" s="3"/>
      <c r="AB10" s="3">
        <v>69218.039999999994</v>
      </c>
      <c r="AC10" s="4">
        <f t="shared" ref="AC10:AC29" si="8">AB10+AA10</f>
        <v>69218.039999999994</v>
      </c>
      <c r="AD10" s="3"/>
      <c r="AE10" s="3"/>
      <c r="AF10" s="4">
        <f t="shared" ref="AF10:AF29" si="9">AE10+AD10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588560.02999999991</v>
      </c>
      <c r="AO10" s="4">
        <f t="shared" ref="AO10:AO29" si="14">AL10+AI10+AF10+AC10+Z10+W10+T10+Q10+N10+K10+H10+E10</f>
        <v>588560.02999999991</v>
      </c>
    </row>
    <row r="11" spans="1:41" ht="20.100000000000001" customHeight="1">
      <c r="A11" s="3">
        <v>2210</v>
      </c>
      <c r="B11" s="3" t="s">
        <v>2</v>
      </c>
      <c r="C11" s="4"/>
      <c r="D11" s="4">
        <v>56.4</v>
      </c>
      <c r="E11" s="4">
        <f t="shared" si="0"/>
        <v>56.4</v>
      </c>
      <c r="F11" s="4"/>
      <c r="G11" s="4">
        <v>1273.8900000000001</v>
      </c>
      <c r="H11" s="4">
        <f t="shared" si="1"/>
        <v>1273.8900000000001</v>
      </c>
      <c r="I11" s="4"/>
      <c r="J11" s="4">
        <v>1607.8</v>
      </c>
      <c r="K11" s="4">
        <f t="shared" si="2"/>
        <v>1607.8</v>
      </c>
      <c r="L11" s="4"/>
      <c r="M11" s="4">
        <v>624.27</v>
      </c>
      <c r="N11" s="4">
        <f t="shared" si="3"/>
        <v>624.27</v>
      </c>
      <c r="O11" s="8"/>
      <c r="P11" s="3">
        <v>3930.87</v>
      </c>
      <c r="Q11" s="4">
        <f t="shared" si="4"/>
        <v>3930.87</v>
      </c>
      <c r="R11" s="3"/>
      <c r="S11" s="3"/>
      <c r="T11" s="4">
        <f t="shared" si="5"/>
        <v>0</v>
      </c>
      <c r="U11" s="3"/>
      <c r="V11" s="3"/>
      <c r="W11" s="4">
        <f t="shared" si="6"/>
        <v>0</v>
      </c>
      <c r="X11" s="3"/>
      <c r="Y11" s="3"/>
      <c r="Z11" s="4">
        <f t="shared" si="7"/>
        <v>0</v>
      </c>
      <c r="AA11" s="3"/>
      <c r="AB11" s="3">
        <v>-27396.61</v>
      </c>
      <c r="AC11" s="4">
        <f t="shared" si="8"/>
        <v>-27396.61</v>
      </c>
      <c r="AD11" s="3"/>
      <c r="AE11" s="4"/>
      <c r="AF11" s="4">
        <f t="shared" si="9"/>
        <v>0</v>
      </c>
      <c r="AG11" s="3"/>
      <c r="AH11" s="3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-19903.38</v>
      </c>
      <c r="AO11" s="4">
        <f t="shared" si="14"/>
        <v>-19903.38</v>
      </c>
    </row>
    <row r="12" spans="1:41" ht="20.100000000000001" customHeight="1">
      <c r="A12" s="3">
        <v>2220</v>
      </c>
      <c r="B12" s="3" t="s">
        <v>3</v>
      </c>
      <c r="C12" s="4"/>
      <c r="D12" s="4">
        <v>1550</v>
      </c>
      <c r="E12" s="4">
        <f t="shared" si="0"/>
        <v>1550</v>
      </c>
      <c r="F12" s="4"/>
      <c r="G12" s="4">
        <v>1550</v>
      </c>
      <c r="H12" s="4">
        <f t="shared" si="1"/>
        <v>1550</v>
      </c>
      <c r="I12" s="4"/>
      <c r="J12" s="4">
        <v>1994</v>
      </c>
      <c r="K12" s="4">
        <f t="shared" si="2"/>
        <v>1994</v>
      </c>
      <c r="L12" s="4"/>
      <c r="M12" s="4">
        <v>2814</v>
      </c>
      <c r="N12" s="4">
        <f t="shared" si="3"/>
        <v>2814</v>
      </c>
      <c r="O12" s="8"/>
      <c r="P12" s="3">
        <v>1670</v>
      </c>
      <c r="Q12" s="4">
        <f t="shared" si="4"/>
        <v>1670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15"/>
      <c r="Z12" s="4">
        <f t="shared" si="7"/>
        <v>0</v>
      </c>
      <c r="AA12" s="3"/>
      <c r="AB12" s="3"/>
      <c r="AC12" s="4">
        <f t="shared" si="8"/>
        <v>0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9578</v>
      </c>
      <c r="AO12" s="4">
        <f t="shared" si="14"/>
        <v>9578</v>
      </c>
    </row>
    <row r="13" spans="1:41" ht="20.100000000000001" customHeight="1">
      <c r="A13" s="3">
        <v>2230</v>
      </c>
      <c r="B13" s="3" t="s">
        <v>4</v>
      </c>
      <c r="C13" s="4"/>
      <c r="D13" s="4">
        <v>31414.27</v>
      </c>
      <c r="E13" s="4">
        <f t="shared" si="0"/>
        <v>31414.27</v>
      </c>
      <c r="F13" s="4"/>
      <c r="G13" s="4">
        <v>43697.62</v>
      </c>
      <c r="H13" s="4">
        <f t="shared" si="1"/>
        <v>43697.62</v>
      </c>
      <c r="I13" s="4"/>
      <c r="J13" s="4">
        <v>34950.379999999997</v>
      </c>
      <c r="K13" s="4">
        <f t="shared" si="2"/>
        <v>34950.379999999997</v>
      </c>
      <c r="L13" s="4"/>
      <c r="M13" s="4">
        <v>47360.88</v>
      </c>
      <c r="N13" s="4">
        <f t="shared" si="3"/>
        <v>47360.88</v>
      </c>
      <c r="O13" s="4"/>
      <c r="P13" s="4">
        <v>46850.19</v>
      </c>
      <c r="Q13" s="4">
        <f t="shared" si="4"/>
        <v>46850.19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>
        <v>43346.62</v>
      </c>
      <c r="AC13" s="4">
        <f t="shared" si="8"/>
        <v>43346.62</v>
      </c>
      <c r="AD13" s="3"/>
      <c r="AE13" s="4"/>
      <c r="AF13" s="4">
        <f t="shared" si="9"/>
        <v>0</v>
      </c>
      <c r="AG13" s="3"/>
      <c r="AH13" s="4"/>
      <c r="AI13" s="4">
        <f t="shared" si="10"/>
        <v>0</v>
      </c>
      <c r="AJ13" s="3"/>
      <c r="AK13" s="4"/>
      <c r="AL13" s="4">
        <f t="shared" si="11"/>
        <v>0</v>
      </c>
      <c r="AM13" s="4">
        <f t="shared" si="12"/>
        <v>0</v>
      </c>
      <c r="AN13" s="4">
        <f t="shared" si="13"/>
        <v>247619.96</v>
      </c>
      <c r="AO13" s="4">
        <f t="shared" si="14"/>
        <v>247619.96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150+28250.34</f>
        <v>28400.34</v>
      </c>
      <c r="H14" s="4">
        <f t="shared" si="1"/>
        <v>28400.34</v>
      </c>
      <c r="I14" s="4"/>
      <c r="J14" s="4">
        <f>23326.46+150</f>
        <v>23476.46</v>
      </c>
      <c r="K14" s="4">
        <f t="shared" si="2"/>
        <v>23476.46</v>
      </c>
      <c r="L14" s="4"/>
      <c r="M14" s="4">
        <f>150+35520.1</f>
        <v>35670.1</v>
      </c>
      <c r="N14" s="4">
        <f t="shared" si="3"/>
        <v>35670.1</v>
      </c>
      <c r="O14" s="4"/>
      <c r="P14" s="3">
        <f>8614.1+150</f>
        <v>8764.1</v>
      </c>
      <c r="Q14" s="4">
        <f t="shared" si="4"/>
        <v>8764.1</v>
      </c>
      <c r="R14" s="3"/>
      <c r="S14" s="3">
        <f>29031.1+150</f>
        <v>29181.1</v>
      </c>
      <c r="T14" s="4">
        <f t="shared" si="5"/>
        <v>29181.1</v>
      </c>
      <c r="U14" s="3"/>
      <c r="V14" s="3">
        <f>26022.46+150</f>
        <v>26172.46</v>
      </c>
      <c r="W14" s="4">
        <f t="shared" si="6"/>
        <v>26172.46</v>
      </c>
      <c r="X14" s="3"/>
      <c r="Y14" s="3">
        <f>150+171040.21</f>
        <v>171190.21</v>
      </c>
      <c r="Z14" s="4">
        <f t="shared" si="7"/>
        <v>171190.21</v>
      </c>
      <c r="AA14" s="3"/>
      <c r="AB14" s="3">
        <f>500714.17+150</f>
        <v>500864.17</v>
      </c>
      <c r="AC14" s="4">
        <f t="shared" si="8"/>
        <v>500864.17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4"/>
      <c r="AL14" s="4">
        <f>AK14+AJ14</f>
        <v>0</v>
      </c>
      <c r="AM14" s="4">
        <f t="shared" si="12"/>
        <v>0</v>
      </c>
      <c r="AN14" s="4">
        <f t="shared" si="13"/>
        <v>823718.93999999983</v>
      </c>
      <c r="AO14" s="4">
        <f t="shared" si="14"/>
        <v>823718.93999999983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4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v>487110.40000000002</v>
      </c>
      <c r="H17" s="4">
        <f t="shared" si="1"/>
        <v>487110.40000000002</v>
      </c>
      <c r="I17" s="4"/>
      <c r="J17" s="4">
        <v>887932.12</v>
      </c>
      <c r="K17" s="4">
        <f t="shared" si="2"/>
        <v>887932.12</v>
      </c>
      <c r="L17" s="4"/>
      <c r="M17" s="4">
        <v>225220.84</v>
      </c>
      <c r="N17" s="4">
        <f t="shared" si="3"/>
        <v>225220.84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1600263.3599999999</v>
      </c>
      <c r="AO17" s="4">
        <f t="shared" si="14"/>
        <v>1600263.3599999999</v>
      </c>
    </row>
    <row r="18" spans="1:41" ht="20.100000000000001" customHeight="1">
      <c r="A18" s="3">
        <v>2272</v>
      </c>
      <c r="B18" s="3" t="s">
        <v>9</v>
      </c>
      <c r="C18" s="4"/>
      <c r="D18" s="4">
        <v>5574.24</v>
      </c>
      <c r="E18" s="4">
        <f t="shared" si="0"/>
        <v>5574.24</v>
      </c>
      <c r="F18" s="4"/>
      <c r="G18" s="4">
        <v>8467.2000000000007</v>
      </c>
      <c r="H18" s="4">
        <f t="shared" si="1"/>
        <v>8467.2000000000007</v>
      </c>
      <c r="I18" s="4"/>
      <c r="J18" s="4">
        <v>11642.4</v>
      </c>
      <c r="K18" s="4">
        <f t="shared" si="2"/>
        <v>11642.4</v>
      </c>
      <c r="L18" s="4"/>
      <c r="M18" s="4">
        <v>6279.84</v>
      </c>
      <c r="N18" s="4">
        <f t="shared" si="3"/>
        <v>6279.84</v>
      </c>
      <c r="O18" s="4"/>
      <c r="P18" s="3">
        <v>10160.74</v>
      </c>
      <c r="Q18" s="4">
        <f t="shared" si="4"/>
        <v>10160.74</v>
      </c>
      <c r="R18" s="3"/>
      <c r="S18" s="3">
        <v>7152.12</v>
      </c>
      <c r="T18" s="4">
        <f t="shared" si="5"/>
        <v>7152.12</v>
      </c>
      <c r="U18" s="3"/>
      <c r="V18" s="3">
        <v>4472.67</v>
      </c>
      <c r="W18" s="4">
        <f t="shared" si="6"/>
        <v>4472.67</v>
      </c>
      <c r="X18" s="3"/>
      <c r="Y18" s="3">
        <v>2275.5700000000002</v>
      </c>
      <c r="Z18" s="4">
        <f t="shared" si="7"/>
        <v>2275.5700000000002</v>
      </c>
      <c r="AA18" s="3"/>
      <c r="AB18" s="3">
        <v>7846.8</v>
      </c>
      <c r="AC18" s="4">
        <f t="shared" si="8"/>
        <v>7846.8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63871.580000000009</v>
      </c>
      <c r="AO18" s="4">
        <f t="shared" si="14"/>
        <v>63871.580000000009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53054.02</v>
      </c>
      <c r="H19" s="4">
        <f t="shared" si="1"/>
        <v>53054.02</v>
      </c>
      <c r="I19" s="4"/>
      <c r="J19" s="4">
        <v>86964.33</v>
      </c>
      <c r="K19" s="4">
        <f t="shared" si="2"/>
        <v>86964.33</v>
      </c>
      <c r="L19" s="4"/>
      <c r="M19" s="4">
        <v>101983.47</v>
      </c>
      <c r="N19" s="4">
        <f t="shared" si="3"/>
        <v>101983.47</v>
      </c>
      <c r="O19" s="4"/>
      <c r="P19" s="3">
        <v>114434.38</v>
      </c>
      <c r="Q19" s="4">
        <f t="shared" si="4"/>
        <v>114434.38</v>
      </c>
      <c r="R19" s="3"/>
      <c r="S19" s="3">
        <v>80684.31</v>
      </c>
      <c r="T19" s="4">
        <f t="shared" si="5"/>
        <v>80684.31</v>
      </c>
      <c r="U19" s="3"/>
      <c r="V19" s="3">
        <v>37311.86</v>
      </c>
      <c r="W19" s="4">
        <f t="shared" si="6"/>
        <v>37311.86</v>
      </c>
      <c r="X19" s="3"/>
      <c r="Y19" s="3">
        <v>12715.81</v>
      </c>
      <c r="Z19" s="4">
        <f t="shared" si="7"/>
        <v>12715.81</v>
      </c>
      <c r="AA19" s="3"/>
      <c r="AB19" s="3">
        <v>19290.650000000001</v>
      </c>
      <c r="AC19" s="4">
        <f t="shared" si="8"/>
        <v>19290.650000000001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506438.83</v>
      </c>
      <c r="AO19" s="4">
        <f t="shared" si="14"/>
        <v>506438.83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30660.16</v>
      </c>
      <c r="E21" s="4">
        <f t="shared" si="0"/>
        <v>30660.16</v>
      </c>
      <c r="F21" s="4"/>
      <c r="G21" s="4">
        <v>19747.09</v>
      </c>
      <c r="H21" s="4">
        <f t="shared" si="1"/>
        <v>19747.09</v>
      </c>
      <c r="I21" s="4"/>
      <c r="J21" s="4">
        <v>2184.0500000000002</v>
      </c>
      <c r="K21" s="4">
        <f t="shared" si="2"/>
        <v>2184.0500000000002</v>
      </c>
      <c r="L21" s="4"/>
      <c r="M21" s="4">
        <v>2355.1999999999998</v>
      </c>
      <c r="N21" s="4">
        <f t="shared" si="3"/>
        <v>2355.1999999999998</v>
      </c>
      <c r="O21" s="8"/>
      <c r="P21" s="3">
        <v>5593.51</v>
      </c>
      <c r="Q21" s="4">
        <f t="shared" si="4"/>
        <v>5593.51</v>
      </c>
      <c r="R21" s="3"/>
      <c r="S21" s="3">
        <v>2487.2399999999998</v>
      </c>
      <c r="T21" s="4">
        <f t="shared" si="5"/>
        <v>2487.2399999999998</v>
      </c>
      <c r="U21" s="3"/>
      <c r="V21" s="3">
        <v>2352.98</v>
      </c>
      <c r="W21" s="4">
        <f t="shared" si="6"/>
        <v>2352.98</v>
      </c>
      <c r="X21" s="3"/>
      <c r="Y21" s="3">
        <v>3430.7</v>
      </c>
      <c r="Z21" s="4">
        <f t="shared" si="7"/>
        <v>3430.7</v>
      </c>
      <c r="AA21" s="3"/>
      <c r="AB21" s="3">
        <v>3181.26</v>
      </c>
      <c r="AC21" s="4">
        <f t="shared" si="8"/>
        <v>3181.26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71992.19</v>
      </c>
      <c r="AO21" s="4">
        <f t="shared" si="14"/>
        <v>71992.19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8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1020</v>
      </c>
      <c r="Z22" s="4">
        <f t="shared" si="7"/>
        <v>1020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1620</v>
      </c>
      <c r="AO22" s="4">
        <f t="shared" si="14"/>
        <v>1620</v>
      </c>
    </row>
    <row r="23" spans="1:41" ht="30" customHeight="1">
      <c r="A23" s="3">
        <v>2700</v>
      </c>
      <c r="B23" s="3"/>
      <c r="C23" s="4"/>
      <c r="D23" s="4"/>
      <c r="E23" s="4">
        <f t="shared" si="0"/>
        <v>0</v>
      </c>
      <c r="F23" s="4"/>
      <c r="G23" s="4"/>
      <c r="H23" s="4">
        <f t="shared" si="1"/>
        <v>0</v>
      </c>
      <c r="I23" s="4"/>
      <c r="J23" s="4"/>
      <c r="K23" s="4">
        <f t="shared" si="2"/>
        <v>0</v>
      </c>
      <c r="L23" s="4"/>
      <c r="M23" s="4"/>
      <c r="N23" s="4">
        <f t="shared" si="3"/>
        <v>0</v>
      </c>
      <c r="O23" s="4"/>
      <c r="P23" s="4"/>
      <c r="Q23" s="4">
        <f t="shared" si="4"/>
        <v>0</v>
      </c>
      <c r="R23" s="4"/>
      <c r="S23" s="4"/>
      <c r="T23" s="4">
        <f t="shared" si="5"/>
        <v>0</v>
      </c>
      <c r="U23" s="4"/>
      <c r="V23" s="4"/>
      <c r="W23" s="4">
        <f t="shared" si="6"/>
        <v>0</v>
      </c>
      <c r="X23" s="4"/>
      <c r="Y23" s="4"/>
      <c r="Z23" s="4">
        <f t="shared" si="7"/>
        <v>0</v>
      </c>
      <c r="AA23" s="4"/>
      <c r="AB23" s="4"/>
      <c r="AC23" s="4">
        <f t="shared" si="8"/>
        <v>0</v>
      </c>
      <c r="AD23" s="4"/>
      <c r="AE23" s="4"/>
      <c r="AF23" s="4">
        <f t="shared" si="9"/>
        <v>0</v>
      </c>
      <c r="AG23" s="4"/>
      <c r="AH23" s="4"/>
      <c r="AI23" s="4">
        <f t="shared" si="10"/>
        <v>0</v>
      </c>
      <c r="AJ23" s="4"/>
      <c r="AK23" s="4"/>
      <c r="AL23" s="4">
        <f t="shared" si="11"/>
        <v>0</v>
      </c>
      <c r="AM23" s="4">
        <f t="shared" ref="AM23" si="15">AL23+AK23</f>
        <v>0</v>
      </c>
      <c r="AN23" s="4">
        <f t="shared" si="13"/>
        <v>0</v>
      </c>
      <c r="AO23" s="4">
        <f t="shared" si="14"/>
        <v>0</v>
      </c>
    </row>
    <row r="24" spans="1:41" ht="20.100000000000001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8"/>
      <c r="P24" s="3">
        <v>29205.59</v>
      </c>
      <c r="Q24" s="4">
        <f t="shared" si="4"/>
        <v>29205.59</v>
      </c>
      <c r="R24" s="3"/>
      <c r="S24" s="3"/>
      <c r="T24" s="4">
        <f t="shared" si="5"/>
        <v>0</v>
      </c>
      <c r="U24" s="3"/>
      <c r="V24" s="3"/>
      <c r="W24" s="4">
        <f t="shared" si="6"/>
        <v>0</v>
      </c>
      <c r="X24" s="3"/>
      <c r="Y24" s="3">
        <v>38171.160000000003</v>
      </c>
      <c r="Z24" s="4">
        <f t="shared" si="7"/>
        <v>38171.160000000003</v>
      </c>
      <c r="AA24" s="3"/>
      <c r="AB24" s="4"/>
      <c r="AC24" s="4">
        <f t="shared" si="8"/>
        <v>0</v>
      </c>
      <c r="AD24" s="3"/>
      <c r="AE24" s="3"/>
      <c r="AF24" s="4">
        <f t="shared" si="9"/>
        <v>0</v>
      </c>
      <c r="AG24" s="3"/>
      <c r="AH24" s="3"/>
      <c r="AI24" s="4">
        <f t="shared" si="10"/>
        <v>0</v>
      </c>
      <c r="AJ24" s="3"/>
      <c r="AK24" s="3"/>
      <c r="AL24" s="4">
        <f t="shared" si="11"/>
        <v>0</v>
      </c>
      <c r="AM24" s="4">
        <f t="shared" si="12"/>
        <v>0</v>
      </c>
      <c r="AN24" s="4">
        <f t="shared" si="13"/>
        <v>67376.75</v>
      </c>
      <c r="AO24" s="4">
        <f t="shared" si="14"/>
        <v>67376.75</v>
      </c>
    </row>
    <row r="25" spans="1:41" ht="30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34.5" customHeight="1">
      <c r="A26" s="6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20.100000000000001" customHeight="1">
      <c r="A27" s="3"/>
      <c r="B27" s="3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1516</v>
      </c>
      <c r="H29" s="4">
        <f t="shared" si="1"/>
        <v>1516</v>
      </c>
      <c r="I29" s="4"/>
      <c r="J29" s="4">
        <v>1516</v>
      </c>
      <c r="K29" s="4">
        <f t="shared" si="2"/>
        <v>1516</v>
      </c>
      <c r="L29" s="4"/>
      <c r="M29" s="4">
        <v>2616</v>
      </c>
      <c r="N29" s="4">
        <f t="shared" si="3"/>
        <v>2616</v>
      </c>
      <c r="O29" s="8"/>
      <c r="P29" s="3">
        <v>1516</v>
      </c>
      <c r="Q29" s="4">
        <f t="shared" si="4"/>
        <v>1516</v>
      </c>
      <c r="R29" s="3"/>
      <c r="S29" s="3">
        <v>1516</v>
      </c>
      <c r="T29" s="4">
        <f t="shared" si="5"/>
        <v>1516</v>
      </c>
      <c r="U29" s="3"/>
      <c r="V29" s="3">
        <v>2616</v>
      </c>
      <c r="W29" s="4">
        <f t="shared" si="6"/>
        <v>2616</v>
      </c>
      <c r="X29" s="3"/>
      <c r="Y29" s="3">
        <v>1516</v>
      </c>
      <c r="Z29" s="4">
        <f t="shared" si="7"/>
        <v>1516</v>
      </c>
      <c r="AA29" s="3"/>
      <c r="AB29" s="4">
        <v>1516</v>
      </c>
      <c r="AC29" s="4">
        <f t="shared" si="8"/>
        <v>1516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14328</v>
      </c>
      <c r="AO29" s="4">
        <f t="shared" si="14"/>
        <v>14328</v>
      </c>
    </row>
    <row r="30" spans="1:41" ht="33.75" customHeight="1">
      <c r="A30" s="7"/>
      <c r="B30" s="7" t="s">
        <v>30</v>
      </c>
      <c r="C30" s="8">
        <f>SUM(C9:C27)</f>
        <v>0</v>
      </c>
      <c r="D30" s="8">
        <f t="shared" ref="D30:AO30" si="16">SUM(D9:D27)</f>
        <v>424777.38</v>
      </c>
      <c r="E30" s="8">
        <f t="shared" si="16"/>
        <v>424777.38</v>
      </c>
      <c r="F30" s="8">
        <f t="shared" si="16"/>
        <v>0</v>
      </c>
      <c r="G30" s="8">
        <f>SUM(G9:G29)</f>
        <v>1001165.39</v>
      </c>
      <c r="H30" s="8">
        <f>SUM(H9:H29)</f>
        <v>1001165.39</v>
      </c>
      <c r="I30" s="8">
        <f t="shared" si="16"/>
        <v>0</v>
      </c>
      <c r="J30" s="8"/>
      <c r="K30" s="8">
        <f>J30+I30</f>
        <v>0</v>
      </c>
      <c r="L30" s="8">
        <f t="shared" si="16"/>
        <v>0</v>
      </c>
      <c r="M30" s="8">
        <f t="shared" si="16"/>
        <v>775182.23999999987</v>
      </c>
      <c r="N30" s="8">
        <f>M30+L30</f>
        <v>775182.23999999987</v>
      </c>
      <c r="O30" s="8">
        <f t="shared" si="16"/>
        <v>0</v>
      </c>
      <c r="P30" s="8">
        <f>SUM(P9:P28)</f>
        <v>663809.67999999993</v>
      </c>
      <c r="Q30" s="8">
        <f>P30+O30</f>
        <v>663809.67999999993</v>
      </c>
      <c r="R30" s="8">
        <f t="shared" si="16"/>
        <v>0</v>
      </c>
      <c r="S30" s="8">
        <f t="shared" si="16"/>
        <v>601108.5</v>
      </c>
      <c r="T30" s="8">
        <f>S30+R30</f>
        <v>601108.5</v>
      </c>
      <c r="U30" s="8">
        <f t="shared" si="16"/>
        <v>0</v>
      </c>
      <c r="V30" s="8">
        <f t="shared" si="16"/>
        <v>296594.13999999996</v>
      </c>
      <c r="W30" s="8">
        <f>V30+U30</f>
        <v>296594.13999999996</v>
      </c>
      <c r="X30" s="8">
        <f t="shared" si="16"/>
        <v>0</v>
      </c>
      <c r="Y30" s="8">
        <f t="shared" si="16"/>
        <v>561106.15999999992</v>
      </c>
      <c r="Z30" s="8">
        <f t="shared" si="7"/>
        <v>561106.15999999992</v>
      </c>
      <c r="AA30" s="8">
        <f t="shared" si="16"/>
        <v>0</v>
      </c>
      <c r="AB30" s="8">
        <f t="shared" si="16"/>
        <v>935132.58000000007</v>
      </c>
      <c r="AC30" s="8">
        <f>AB30+AA30</f>
        <v>935132.58000000007</v>
      </c>
      <c r="AD30" s="8">
        <f t="shared" si="16"/>
        <v>0</v>
      </c>
      <c r="AE30" s="8">
        <f t="shared" si="16"/>
        <v>0</v>
      </c>
      <c r="AF30" s="8">
        <f>AE30+AD30</f>
        <v>0</v>
      </c>
      <c r="AG30" s="8">
        <f t="shared" si="16"/>
        <v>0</v>
      </c>
      <c r="AH30" s="8">
        <f t="shared" si="16"/>
        <v>0</v>
      </c>
      <c r="AI30" s="8">
        <f>AH30+AG30</f>
        <v>0</v>
      </c>
      <c r="AJ30" s="8">
        <f t="shared" si="16"/>
        <v>0</v>
      </c>
      <c r="AK30" s="8">
        <f t="shared" si="16"/>
        <v>0</v>
      </c>
      <c r="AL30" s="8">
        <f>AK30+AJ30</f>
        <v>0</v>
      </c>
      <c r="AM30" s="8">
        <f t="shared" si="16"/>
        <v>0</v>
      </c>
      <c r="AN30" s="8">
        <f t="shared" si="16"/>
        <v>6665442.2199999997</v>
      </c>
      <c r="AO30" s="8">
        <f t="shared" si="16"/>
        <v>6665442.2199999997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O35"/>
  <sheetViews>
    <sheetView workbookViewId="0">
      <pane xSplit="2" ySplit="8" topLeftCell="R15" activePane="bottomRight" state="frozen"/>
      <selection pane="topRight" activeCell="C1" sqref="C1"/>
      <selection pane="bottomLeft" activeCell="A10" sqref="A10"/>
      <selection pane="bottomRight" activeCell="AB21" sqref="AB21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2.33203125" customWidth="1"/>
    <col min="5" max="5" width="11.109375" customWidth="1"/>
    <col min="6" max="6" width="11.6640625" customWidth="1"/>
    <col min="7" max="7" width="10.88671875" customWidth="1"/>
    <col min="8" max="8" width="10.5546875" customWidth="1"/>
    <col min="9" max="9" width="11.109375" customWidth="1"/>
    <col min="10" max="10" width="12.44140625" customWidth="1"/>
    <col min="11" max="11" width="12.33203125" customWidth="1"/>
    <col min="12" max="12" width="12.44140625" customWidth="1"/>
    <col min="13" max="13" width="10.6640625" customWidth="1"/>
    <col min="14" max="14" width="11.33203125" customWidth="1"/>
    <col min="15" max="15" width="13.5546875" customWidth="1"/>
    <col min="16" max="16" width="12.109375" customWidth="1"/>
    <col min="17" max="17" width="11.5546875" customWidth="1"/>
    <col min="18" max="18" width="11.44140625" customWidth="1"/>
    <col min="19" max="19" width="10.5546875" customWidth="1"/>
    <col min="20" max="20" width="12" customWidth="1"/>
    <col min="21" max="21" width="10.5546875" customWidth="1"/>
    <col min="22" max="22" width="11.5546875" customWidth="1"/>
    <col min="23" max="23" width="10.5546875" customWidth="1"/>
    <col min="24" max="24" width="11.44140625" customWidth="1"/>
    <col min="25" max="25" width="11.6640625" customWidth="1"/>
    <col min="26" max="26" width="11.33203125" customWidth="1"/>
    <col min="27" max="28" width="11.44140625" customWidth="1"/>
    <col min="29" max="29" width="10.88671875" customWidth="1"/>
    <col min="30" max="30" width="11.44140625" customWidth="1"/>
    <col min="31" max="31" width="11" customWidth="1"/>
    <col min="32" max="32" width="10.88671875" customWidth="1"/>
    <col min="33" max="33" width="11.33203125" customWidth="1"/>
    <col min="34" max="34" width="10.88671875" customWidth="1"/>
    <col min="35" max="35" width="10.6640625" customWidth="1"/>
    <col min="36" max="36" width="11.88671875" customWidth="1"/>
    <col min="37" max="37" width="10.5546875" customWidth="1"/>
    <col min="38" max="38" width="11.109375" customWidth="1"/>
    <col min="39" max="39" width="12.5546875" customWidth="1"/>
    <col min="40" max="40" width="11.6640625" customWidth="1"/>
    <col min="41" max="41" width="12.4414062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6" t="s">
        <v>57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238977.7</v>
      </c>
      <c r="E9" s="4">
        <f>D9+C9</f>
        <v>238977.7</v>
      </c>
      <c r="F9" s="4"/>
      <c r="G9" s="4">
        <v>248996.27</v>
      </c>
      <c r="H9" s="4">
        <f>G9+F9</f>
        <v>248996.27</v>
      </c>
      <c r="I9" s="4"/>
      <c r="J9" s="4">
        <v>254660.12</v>
      </c>
      <c r="K9" s="4">
        <f>J9+I9</f>
        <v>254660.12</v>
      </c>
      <c r="L9" s="4"/>
      <c r="M9" s="4">
        <v>264099.59000000003</v>
      </c>
      <c r="N9" s="4">
        <f>M9+L9</f>
        <v>264099.59000000003</v>
      </c>
      <c r="O9" s="4"/>
      <c r="P9" s="3">
        <v>269813.34999999998</v>
      </c>
      <c r="Q9" s="4">
        <f>P9+O9</f>
        <v>269813.34999999998</v>
      </c>
      <c r="R9" s="3"/>
      <c r="S9" s="3">
        <v>243570.52</v>
      </c>
      <c r="T9" s="4">
        <f>S9+R9</f>
        <v>243570.52</v>
      </c>
      <c r="U9" s="3"/>
      <c r="V9" s="3">
        <v>241371.88</v>
      </c>
      <c r="W9" s="4">
        <f>V9+U9</f>
        <v>241371.88</v>
      </c>
      <c r="X9" s="3"/>
      <c r="Y9" s="3">
        <v>160545.85</v>
      </c>
      <c r="Z9" s="4">
        <f>Y9+X9</f>
        <v>160545.85</v>
      </c>
      <c r="AA9" s="3"/>
      <c r="AB9" s="3">
        <v>247791.68</v>
      </c>
      <c r="AC9" s="4">
        <f>AB9+AA9</f>
        <v>247791.68</v>
      </c>
      <c r="AD9" s="3"/>
      <c r="AE9" s="3"/>
      <c r="AF9" s="4">
        <f>AE9+AD9</f>
        <v>0</v>
      </c>
      <c r="AG9" s="3"/>
      <c r="AH9" s="3"/>
      <c r="AI9" s="4">
        <f>AH9+AG9</f>
        <v>0</v>
      </c>
      <c r="AJ9" s="3"/>
      <c r="AK9" s="4"/>
      <c r="AL9" s="4">
        <f>AK9+AJ9</f>
        <v>0</v>
      </c>
      <c r="AM9" s="4">
        <f>AJ9+AG9+AD9+AA9+X9+U9+R9+O9+L9+I9+F9+C9</f>
        <v>0</v>
      </c>
      <c r="AN9" s="4">
        <f>AK9+AH9+AE9+AB9+Y9+V9+S9+P9+M9+J9+G9+D9</f>
        <v>2169826.9600000004</v>
      </c>
      <c r="AO9" s="4">
        <f>AL9+AI9+AF9+AC9+Z9+W9+T9+Q9+N9+K9+H9+E9</f>
        <v>2169826.9600000004</v>
      </c>
    </row>
    <row r="10" spans="1:41" ht="20.100000000000001" customHeight="1">
      <c r="A10" s="3">
        <v>2120</v>
      </c>
      <c r="B10" s="3" t="s">
        <v>1</v>
      </c>
      <c r="C10" s="4"/>
      <c r="D10" s="4">
        <v>51670.86</v>
      </c>
      <c r="E10" s="4">
        <f t="shared" ref="E10:E29" si="0">D10+C10</f>
        <v>51670.86</v>
      </c>
      <c r="F10" s="4"/>
      <c r="G10" s="4">
        <v>57896.07</v>
      </c>
      <c r="H10" s="4">
        <f t="shared" ref="H10:H29" si="1">G10+F10</f>
        <v>57896.07</v>
      </c>
      <c r="I10" s="4"/>
      <c r="J10" s="4">
        <v>55755.08</v>
      </c>
      <c r="K10" s="4">
        <f t="shared" ref="K10:K29" si="2">J10+I10</f>
        <v>55755.08</v>
      </c>
      <c r="L10" s="4"/>
      <c r="M10" s="4">
        <v>59111.8</v>
      </c>
      <c r="N10" s="4">
        <f t="shared" ref="N10:N29" si="3">M10+L10</f>
        <v>59111.8</v>
      </c>
      <c r="O10" s="4"/>
      <c r="P10" s="3">
        <v>62710.21</v>
      </c>
      <c r="Q10" s="4">
        <f t="shared" ref="Q10:Q29" si="4">P10+O10</f>
        <v>62710.21</v>
      </c>
      <c r="R10" s="3"/>
      <c r="S10" s="3">
        <v>56347.78</v>
      </c>
      <c r="T10" s="4">
        <f t="shared" ref="T10:T29" si="5">S10+R10</f>
        <v>56347.78</v>
      </c>
      <c r="U10" s="3"/>
      <c r="V10" s="3">
        <v>54586.46</v>
      </c>
      <c r="W10" s="4">
        <f t="shared" ref="W10:W29" si="6">V10+U10</f>
        <v>54586.46</v>
      </c>
      <c r="X10" s="3"/>
      <c r="Y10" s="3">
        <v>37278.78</v>
      </c>
      <c r="Z10" s="4">
        <f t="shared" ref="Z10:Z30" si="7">Y10+X10</f>
        <v>37278.78</v>
      </c>
      <c r="AA10" s="3"/>
      <c r="AB10" s="3">
        <v>55453.05</v>
      </c>
      <c r="AC10" s="4">
        <f t="shared" ref="AC10:AC29" si="8">AB10+AA10</f>
        <v>55453.05</v>
      </c>
      <c r="AD10" s="3"/>
      <c r="AE10" s="3"/>
      <c r="AF10" s="4">
        <f t="shared" ref="AF10:AF29" si="9">AE10+AD10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490810.09</v>
      </c>
      <c r="AO10" s="4">
        <f t="shared" ref="AO10:AO29" si="14">AL10+AI10+AF10+AC10+Z10+W10+T10+Q10+N10+K10+H10+E10</f>
        <v>490810.09</v>
      </c>
    </row>
    <row r="11" spans="1:41" ht="20.100000000000001" customHeight="1">
      <c r="A11" s="3">
        <v>2210</v>
      </c>
      <c r="B11" s="3" t="s">
        <v>2</v>
      </c>
      <c r="C11" s="4"/>
      <c r="D11" s="4">
        <v>2094.6999999999998</v>
      </c>
      <c r="E11" s="4">
        <f t="shared" si="0"/>
        <v>2094.6999999999998</v>
      </c>
      <c r="F11" s="4"/>
      <c r="G11" s="4">
        <v>2315.6999999999998</v>
      </c>
      <c r="H11" s="4">
        <f t="shared" si="1"/>
        <v>2315.6999999999998</v>
      </c>
      <c r="I11" s="4"/>
      <c r="J11" s="4">
        <v>2609.04</v>
      </c>
      <c r="K11" s="4">
        <f t="shared" si="2"/>
        <v>2609.04</v>
      </c>
      <c r="L11" s="4"/>
      <c r="M11" s="4">
        <v>2004.66</v>
      </c>
      <c r="N11" s="4">
        <f t="shared" si="3"/>
        <v>2004.66</v>
      </c>
      <c r="O11" s="8"/>
      <c r="P11" s="3">
        <v>3039.11</v>
      </c>
      <c r="Q11" s="4">
        <f t="shared" si="4"/>
        <v>3039.11</v>
      </c>
      <c r="R11" s="3"/>
      <c r="S11" s="3">
        <v>1723.32</v>
      </c>
      <c r="T11" s="4">
        <f t="shared" si="5"/>
        <v>1723.32</v>
      </c>
      <c r="U11" s="3"/>
      <c r="V11" s="3"/>
      <c r="W11" s="4">
        <f t="shared" si="6"/>
        <v>0</v>
      </c>
      <c r="X11" s="3"/>
      <c r="Y11" s="3"/>
      <c r="Z11" s="4">
        <f t="shared" si="7"/>
        <v>0</v>
      </c>
      <c r="AA11" s="3"/>
      <c r="AB11" s="3">
        <v>4922.45</v>
      </c>
      <c r="AC11" s="4">
        <f t="shared" si="8"/>
        <v>4922.45</v>
      </c>
      <c r="AD11" s="3"/>
      <c r="AE11" s="4"/>
      <c r="AF11" s="4">
        <f t="shared" si="9"/>
        <v>0</v>
      </c>
      <c r="AG11" s="3"/>
      <c r="AH11" s="3"/>
      <c r="AI11" s="4">
        <f t="shared" si="10"/>
        <v>0</v>
      </c>
      <c r="AJ11" s="3"/>
      <c r="AK11" s="4"/>
      <c r="AL11" s="4">
        <f t="shared" si="11"/>
        <v>0</v>
      </c>
      <c r="AM11" s="4">
        <f t="shared" si="12"/>
        <v>0</v>
      </c>
      <c r="AN11" s="4">
        <f t="shared" si="13"/>
        <v>18708.98</v>
      </c>
      <c r="AO11" s="4">
        <f t="shared" si="14"/>
        <v>18708.98</v>
      </c>
    </row>
    <row r="12" spans="1:41" ht="20.100000000000001" customHeight="1">
      <c r="A12" s="3">
        <v>2220</v>
      </c>
      <c r="B12" s="3" t="s">
        <v>3</v>
      </c>
      <c r="C12" s="4"/>
      <c r="D12" s="4">
        <v>1900.8</v>
      </c>
      <c r="E12" s="4">
        <f t="shared" si="0"/>
        <v>1900.8</v>
      </c>
      <c r="F12" s="4"/>
      <c r="G12" s="4">
        <v>2296</v>
      </c>
      <c r="H12" s="4">
        <f t="shared" si="1"/>
        <v>2296</v>
      </c>
      <c r="I12" s="4"/>
      <c r="J12" s="4">
        <v>2478</v>
      </c>
      <c r="K12" s="4">
        <f t="shared" si="2"/>
        <v>2478</v>
      </c>
      <c r="L12" s="4"/>
      <c r="M12" s="4">
        <v>2310</v>
      </c>
      <c r="N12" s="4">
        <f t="shared" si="3"/>
        <v>2310</v>
      </c>
      <c r="O12" s="8"/>
      <c r="P12" s="3">
        <v>2504.62</v>
      </c>
      <c r="Q12" s="4">
        <f t="shared" si="4"/>
        <v>2504.62</v>
      </c>
      <c r="R12" s="3"/>
      <c r="S12" s="3">
        <v>32.35</v>
      </c>
      <c r="T12" s="4">
        <f t="shared" si="5"/>
        <v>32.35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4">
        <v>2085</v>
      </c>
      <c r="AC12" s="4">
        <f t="shared" si="8"/>
        <v>2085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13606.769999999999</v>
      </c>
      <c r="AO12" s="4">
        <f t="shared" si="14"/>
        <v>13606.769999999999</v>
      </c>
    </row>
    <row r="13" spans="1:41" ht="20.100000000000001" customHeight="1">
      <c r="A13" s="3">
        <v>2230</v>
      </c>
      <c r="B13" s="3" t="s">
        <v>4</v>
      </c>
      <c r="C13" s="4"/>
      <c r="D13" s="4">
        <v>7448.46</v>
      </c>
      <c r="E13" s="4">
        <f t="shared" si="0"/>
        <v>7448.46</v>
      </c>
      <c r="F13" s="4"/>
      <c r="G13" s="4">
        <v>10250.39</v>
      </c>
      <c r="H13" s="4">
        <f t="shared" si="1"/>
        <v>10250.39</v>
      </c>
      <c r="I13" s="4"/>
      <c r="J13" s="4">
        <v>8998.49</v>
      </c>
      <c r="K13" s="4">
        <f t="shared" si="2"/>
        <v>8998.49</v>
      </c>
      <c r="L13" s="4"/>
      <c r="M13" s="4">
        <v>12598.34</v>
      </c>
      <c r="N13" s="4">
        <f t="shared" si="3"/>
        <v>12598.34</v>
      </c>
      <c r="O13" s="4"/>
      <c r="P13" s="4">
        <v>10150.94</v>
      </c>
      <c r="Q13" s="4">
        <f t="shared" si="4"/>
        <v>10150.94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4">
        <v>21348.720000000001</v>
      </c>
      <c r="AC13" s="4">
        <f t="shared" si="8"/>
        <v>21348.720000000001</v>
      </c>
      <c r="AD13" s="3"/>
      <c r="AE13" s="4"/>
      <c r="AF13" s="4">
        <f t="shared" si="9"/>
        <v>0</v>
      </c>
      <c r="AG13" s="3"/>
      <c r="AH13" s="4"/>
      <c r="AI13" s="4">
        <f t="shared" si="10"/>
        <v>0</v>
      </c>
      <c r="AJ13" s="3"/>
      <c r="AK13" s="4"/>
      <c r="AL13" s="4">
        <f t="shared" si="11"/>
        <v>0</v>
      </c>
      <c r="AM13" s="4">
        <f t="shared" si="12"/>
        <v>0</v>
      </c>
      <c r="AN13" s="4">
        <f t="shared" si="13"/>
        <v>70795.34</v>
      </c>
      <c r="AO13" s="4">
        <f t="shared" si="14"/>
        <v>70795.34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150+31996</f>
        <v>32146</v>
      </c>
      <c r="H14" s="4">
        <f t="shared" si="1"/>
        <v>32146</v>
      </c>
      <c r="I14" s="4"/>
      <c r="J14" s="4">
        <f>17288.39+150</f>
        <v>17438.39</v>
      </c>
      <c r="K14" s="4">
        <f t="shared" si="2"/>
        <v>17438.39</v>
      </c>
      <c r="L14" s="4"/>
      <c r="M14" s="4">
        <f>150+15433.69</f>
        <v>15583.69</v>
      </c>
      <c r="N14" s="4">
        <f t="shared" si="3"/>
        <v>15583.69</v>
      </c>
      <c r="O14" s="4"/>
      <c r="P14" s="3">
        <f>8537.69+150</f>
        <v>8687.69</v>
      </c>
      <c r="Q14" s="4">
        <f t="shared" si="4"/>
        <v>8687.69</v>
      </c>
      <c r="R14" s="3"/>
      <c r="S14" s="3">
        <f>20870.09+150</f>
        <v>21020.09</v>
      </c>
      <c r="T14" s="4">
        <f t="shared" si="5"/>
        <v>21020.09</v>
      </c>
      <c r="U14" s="3"/>
      <c r="V14" s="3">
        <f>17126.7+150</f>
        <v>17276.7</v>
      </c>
      <c r="W14" s="4">
        <f t="shared" si="6"/>
        <v>17276.7</v>
      </c>
      <c r="X14" s="3"/>
      <c r="Y14" s="4">
        <f>150+11955.79</f>
        <v>12105.79</v>
      </c>
      <c r="Z14" s="4">
        <f t="shared" si="7"/>
        <v>12105.79</v>
      </c>
      <c r="AA14" s="3"/>
      <c r="AB14" s="3">
        <f>13785.53+150</f>
        <v>13935.53</v>
      </c>
      <c r="AC14" s="4">
        <f t="shared" si="8"/>
        <v>13935.53</v>
      </c>
      <c r="AD14" s="3"/>
      <c r="AE14" s="3"/>
      <c r="AF14" s="4">
        <f t="shared" si="9"/>
        <v>0</v>
      </c>
      <c r="AG14" s="3"/>
      <c r="AH14" s="4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138193.88</v>
      </c>
      <c r="AO14" s="4">
        <f t="shared" si="14"/>
        <v>138193.88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4"/>
      <c r="AF15" s="4">
        <f t="shared" si="9"/>
        <v>0</v>
      </c>
      <c r="AG15" s="3"/>
      <c r="AH15" s="3"/>
      <c r="AI15" s="4">
        <f t="shared" si="10"/>
        <v>0</v>
      </c>
      <c r="AJ15" s="3"/>
      <c r="AK15" s="4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v>563328.88</v>
      </c>
      <c r="H17" s="4">
        <f t="shared" si="1"/>
        <v>563328.88</v>
      </c>
      <c r="I17" s="4"/>
      <c r="J17" s="4">
        <v>587053.32999999996</v>
      </c>
      <c r="K17" s="4">
        <f t="shared" si="2"/>
        <v>587053.32999999996</v>
      </c>
      <c r="L17" s="4"/>
      <c r="M17" s="4">
        <v>245074.76</v>
      </c>
      <c r="N17" s="4">
        <f t="shared" si="3"/>
        <v>245074.76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1395456.97</v>
      </c>
      <c r="AO17" s="4">
        <f t="shared" si="14"/>
        <v>1395456.97</v>
      </c>
    </row>
    <row r="18" spans="1:41" ht="20.100000000000001" customHeight="1">
      <c r="A18" s="3">
        <v>2272</v>
      </c>
      <c r="B18" s="3" t="s">
        <v>9</v>
      </c>
      <c r="C18" s="4"/>
      <c r="D18" s="4">
        <v>5150.88</v>
      </c>
      <c r="E18" s="4">
        <f t="shared" si="0"/>
        <v>5150.88</v>
      </c>
      <c r="F18" s="4"/>
      <c r="G18" s="4">
        <v>5715.36</v>
      </c>
      <c r="H18" s="4">
        <f t="shared" si="1"/>
        <v>5715.36</v>
      </c>
      <c r="I18" s="4"/>
      <c r="J18" s="4">
        <v>7973.28</v>
      </c>
      <c r="K18" s="4">
        <f t="shared" si="2"/>
        <v>7973.28</v>
      </c>
      <c r="L18" s="4"/>
      <c r="M18" s="4">
        <v>6209.28</v>
      </c>
      <c r="N18" s="4">
        <f t="shared" si="3"/>
        <v>6209.28</v>
      </c>
      <c r="O18" s="4"/>
      <c r="P18" s="3">
        <v>7691.04</v>
      </c>
      <c r="Q18" s="4">
        <f t="shared" si="4"/>
        <v>7691.04</v>
      </c>
      <c r="R18" s="3"/>
      <c r="S18" s="3">
        <v>5198.9399999999996</v>
      </c>
      <c r="T18" s="4">
        <f t="shared" si="5"/>
        <v>5198.9399999999996</v>
      </c>
      <c r="U18" s="3"/>
      <c r="V18" s="3">
        <v>3295.66</v>
      </c>
      <c r="W18" s="4">
        <f t="shared" si="6"/>
        <v>3295.66</v>
      </c>
      <c r="X18" s="3"/>
      <c r="Y18" s="3">
        <v>2040.17</v>
      </c>
      <c r="Z18" s="4">
        <f t="shared" si="7"/>
        <v>2040.17</v>
      </c>
      <c r="AA18" s="3"/>
      <c r="AB18" s="3">
        <v>5806.63</v>
      </c>
      <c r="AC18" s="4">
        <f t="shared" si="8"/>
        <v>5806.63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49081.24</v>
      </c>
      <c r="AO18" s="4">
        <f t="shared" si="14"/>
        <v>49081.24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29320.45</v>
      </c>
      <c r="H19" s="4">
        <f t="shared" si="1"/>
        <v>29320.45</v>
      </c>
      <c r="I19" s="4"/>
      <c r="J19" s="4">
        <v>40433.69</v>
      </c>
      <c r="K19" s="4">
        <f t="shared" si="2"/>
        <v>40433.69</v>
      </c>
      <c r="L19" s="4"/>
      <c r="M19" s="4">
        <v>45951.27</v>
      </c>
      <c r="N19" s="4">
        <f t="shared" si="3"/>
        <v>45951.27</v>
      </c>
      <c r="O19" s="4"/>
      <c r="P19" s="3">
        <v>46667.66</v>
      </c>
      <c r="Q19" s="4">
        <f t="shared" si="4"/>
        <v>46667.66</v>
      </c>
      <c r="R19" s="3"/>
      <c r="S19" s="3">
        <v>34872.019999999997</v>
      </c>
      <c r="T19" s="4">
        <f t="shared" si="5"/>
        <v>34872.019999999997</v>
      </c>
      <c r="U19" s="3"/>
      <c r="V19" s="3">
        <v>8350.59</v>
      </c>
      <c r="W19" s="4">
        <f t="shared" si="6"/>
        <v>8350.59</v>
      </c>
      <c r="X19" s="3"/>
      <c r="Y19" s="3">
        <v>5663.51</v>
      </c>
      <c r="Z19" s="4">
        <f t="shared" si="7"/>
        <v>5663.51</v>
      </c>
      <c r="AA19" s="3"/>
      <c r="AB19" s="3">
        <v>8727</v>
      </c>
      <c r="AC19" s="4">
        <f t="shared" si="8"/>
        <v>8727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4"/>
      <c r="AL19" s="4">
        <f t="shared" si="11"/>
        <v>0</v>
      </c>
      <c r="AM19" s="4">
        <f t="shared" si="12"/>
        <v>0</v>
      </c>
      <c r="AN19" s="4">
        <f t="shared" si="13"/>
        <v>219986.19</v>
      </c>
      <c r="AO19" s="4">
        <f t="shared" si="14"/>
        <v>219986.19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6117.01</v>
      </c>
      <c r="E21" s="4">
        <f t="shared" si="0"/>
        <v>6117.01</v>
      </c>
      <c r="F21" s="4"/>
      <c r="G21" s="4">
        <v>2847.84</v>
      </c>
      <c r="H21" s="4">
        <f t="shared" si="1"/>
        <v>2847.84</v>
      </c>
      <c r="I21" s="4"/>
      <c r="J21" s="4">
        <v>1082.97</v>
      </c>
      <c r="K21" s="4">
        <f t="shared" si="2"/>
        <v>1082.97</v>
      </c>
      <c r="L21" s="4"/>
      <c r="M21" s="4">
        <v>1310.0999999999999</v>
      </c>
      <c r="N21" s="4">
        <f t="shared" si="3"/>
        <v>1310.0999999999999</v>
      </c>
      <c r="O21" s="4"/>
      <c r="P21" s="3">
        <v>15048.08</v>
      </c>
      <c r="Q21" s="4">
        <f t="shared" si="4"/>
        <v>15048.08</v>
      </c>
      <c r="R21" s="3"/>
      <c r="S21" s="3">
        <v>1048.08</v>
      </c>
      <c r="T21" s="4">
        <f t="shared" si="5"/>
        <v>1048.08</v>
      </c>
      <c r="U21" s="3"/>
      <c r="V21" s="3">
        <v>1310.0999999999999</v>
      </c>
      <c r="W21" s="4">
        <f t="shared" si="6"/>
        <v>1310.0999999999999</v>
      </c>
      <c r="X21" s="3"/>
      <c r="Y21" s="3">
        <v>14127.24</v>
      </c>
      <c r="Z21" s="4">
        <f t="shared" si="7"/>
        <v>14127.24</v>
      </c>
      <c r="AA21" s="3"/>
      <c r="AB21" s="3">
        <v>2006.46</v>
      </c>
      <c r="AC21" s="4">
        <f t="shared" si="8"/>
        <v>2006.46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44897.88</v>
      </c>
      <c r="AO21" s="4">
        <f t="shared" si="14"/>
        <v>44897.88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1020</v>
      </c>
      <c r="Z22" s="4">
        <f t="shared" si="7"/>
        <v>1020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1620</v>
      </c>
      <c r="AO22" s="4">
        <f t="shared" si="14"/>
        <v>1620</v>
      </c>
    </row>
    <row r="23" spans="1:41" ht="25.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3.25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4"/>
      <c r="P24" s="4">
        <v>9735.2000000000007</v>
      </c>
      <c r="Q24" s="4">
        <f t="shared" si="4"/>
        <v>9735.2000000000007</v>
      </c>
      <c r="R24" s="4"/>
      <c r="S24" s="4"/>
      <c r="T24" s="4">
        <f t="shared" si="5"/>
        <v>0</v>
      </c>
      <c r="U24" s="4"/>
      <c r="V24" s="4"/>
      <c r="W24" s="4">
        <f t="shared" si="6"/>
        <v>0</v>
      </c>
      <c r="X24" s="4"/>
      <c r="Y24" s="4"/>
      <c r="Z24" s="4">
        <f t="shared" si="7"/>
        <v>0</v>
      </c>
      <c r="AA24" s="4"/>
      <c r="AB24" s="4"/>
      <c r="AC24" s="4">
        <f t="shared" si="8"/>
        <v>0</v>
      </c>
      <c r="AD24" s="4"/>
      <c r="AE24" s="4"/>
      <c r="AF24" s="4">
        <f t="shared" si="9"/>
        <v>0</v>
      </c>
      <c r="AG24" s="4"/>
      <c r="AH24" s="4"/>
      <c r="AI24" s="4">
        <f t="shared" si="10"/>
        <v>0</v>
      </c>
      <c r="AJ24" s="4"/>
      <c r="AK24" s="4"/>
      <c r="AL24" s="4">
        <f t="shared" si="11"/>
        <v>0</v>
      </c>
      <c r="AM24" s="4">
        <f t="shared" ref="AM24" si="15">AL24+AK24</f>
        <v>0</v>
      </c>
      <c r="AN24" s="4">
        <f t="shared" si="13"/>
        <v>9735.2000000000007</v>
      </c>
      <c r="AO24" s="4">
        <f t="shared" si="14"/>
        <v>9735.2000000000007</v>
      </c>
    </row>
    <row r="25" spans="1:41" ht="27.7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1435</v>
      </c>
      <c r="H29" s="4">
        <f t="shared" si="1"/>
        <v>1435</v>
      </c>
      <c r="I29" s="4"/>
      <c r="J29" s="4">
        <v>1435</v>
      </c>
      <c r="K29" s="4">
        <f t="shared" si="2"/>
        <v>1435</v>
      </c>
      <c r="L29" s="4"/>
      <c r="M29" s="4">
        <v>2360</v>
      </c>
      <c r="N29" s="4">
        <f t="shared" si="3"/>
        <v>2360</v>
      </c>
      <c r="O29" s="8"/>
      <c r="P29" s="3">
        <v>1435</v>
      </c>
      <c r="Q29" s="4">
        <f t="shared" si="4"/>
        <v>1435</v>
      </c>
      <c r="R29" s="3"/>
      <c r="S29" s="3">
        <v>1435</v>
      </c>
      <c r="T29" s="4">
        <f t="shared" si="5"/>
        <v>1435</v>
      </c>
      <c r="U29" s="3"/>
      <c r="V29" s="3">
        <v>2360</v>
      </c>
      <c r="W29" s="4">
        <f t="shared" si="6"/>
        <v>2360</v>
      </c>
      <c r="X29" s="3"/>
      <c r="Y29" s="3">
        <v>1435</v>
      </c>
      <c r="Z29" s="4">
        <f t="shared" si="7"/>
        <v>1435</v>
      </c>
      <c r="AA29" s="3"/>
      <c r="AB29" s="4">
        <v>1435</v>
      </c>
      <c r="AC29" s="4">
        <f t="shared" si="8"/>
        <v>1435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13330</v>
      </c>
      <c r="AO29" s="4">
        <f t="shared" si="14"/>
        <v>13330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16">SUM(D9:D28)</f>
        <v>313360.41000000003</v>
      </c>
      <c r="E30" s="8">
        <f t="shared" si="16"/>
        <v>313360.41000000003</v>
      </c>
      <c r="F30" s="8">
        <f t="shared" si="16"/>
        <v>0</v>
      </c>
      <c r="G30" s="8">
        <f>SUM(G9:G29)</f>
        <v>956547.96</v>
      </c>
      <c r="H30" s="8">
        <f>SUM(H9:H29)</f>
        <v>956547.96</v>
      </c>
      <c r="I30" s="8">
        <f t="shared" si="16"/>
        <v>0</v>
      </c>
      <c r="J30" s="8">
        <f t="shared" si="16"/>
        <v>978482.3899999999</v>
      </c>
      <c r="K30" s="8">
        <f>J30+I30</f>
        <v>978482.3899999999</v>
      </c>
      <c r="L30" s="8">
        <f t="shared" si="16"/>
        <v>0</v>
      </c>
      <c r="M30" s="8">
        <f t="shared" si="16"/>
        <v>654253.49000000011</v>
      </c>
      <c r="N30" s="8">
        <f>M30+L30</f>
        <v>654253.49000000011</v>
      </c>
      <c r="O30" s="8">
        <f t="shared" si="16"/>
        <v>0</v>
      </c>
      <c r="P30" s="8">
        <f t="shared" si="16"/>
        <v>436047.9</v>
      </c>
      <c r="Q30" s="8">
        <f>P30+O30</f>
        <v>436047.9</v>
      </c>
      <c r="R30" s="8">
        <f t="shared" si="16"/>
        <v>0</v>
      </c>
      <c r="S30" s="8">
        <f t="shared" si="16"/>
        <v>364413.10000000003</v>
      </c>
      <c r="T30" s="8">
        <f>S30+R30</f>
        <v>364413.10000000003</v>
      </c>
      <c r="U30" s="8">
        <f t="shared" si="16"/>
        <v>0</v>
      </c>
      <c r="V30" s="8">
        <f t="shared" si="16"/>
        <v>326191.39</v>
      </c>
      <c r="W30" s="8">
        <f>V30+U30</f>
        <v>326191.39</v>
      </c>
      <c r="X30" s="8">
        <f t="shared" si="16"/>
        <v>0</v>
      </c>
      <c r="Y30" s="8">
        <f t="shared" si="16"/>
        <v>232781.34000000003</v>
      </c>
      <c r="Z30" s="8">
        <f t="shared" si="7"/>
        <v>232781.34000000003</v>
      </c>
      <c r="AA30" s="8">
        <f t="shared" si="16"/>
        <v>0</v>
      </c>
      <c r="AB30" s="8">
        <f t="shared" si="16"/>
        <v>362076.52000000008</v>
      </c>
      <c r="AC30" s="8">
        <f>AB30+AA30</f>
        <v>362076.52000000008</v>
      </c>
      <c r="AD30" s="8">
        <f t="shared" si="16"/>
        <v>0</v>
      </c>
      <c r="AE30" s="8">
        <f t="shared" si="16"/>
        <v>0</v>
      </c>
      <c r="AF30" s="8">
        <f>AE30+AD30</f>
        <v>0</v>
      </c>
      <c r="AG30" s="8">
        <f t="shared" si="16"/>
        <v>0</v>
      </c>
      <c r="AH30" s="8">
        <f t="shared" si="16"/>
        <v>0</v>
      </c>
      <c r="AI30" s="8">
        <f>AH30+AG30</f>
        <v>0</v>
      </c>
      <c r="AJ30" s="8">
        <f t="shared" si="16"/>
        <v>0</v>
      </c>
      <c r="AK30" s="8">
        <f t="shared" si="16"/>
        <v>0</v>
      </c>
      <c r="AL30" s="8">
        <f>AK30+AJ30</f>
        <v>0</v>
      </c>
      <c r="AM30" s="8">
        <f t="shared" si="16"/>
        <v>0</v>
      </c>
      <c r="AN30" s="8">
        <f t="shared" si="16"/>
        <v>4622719.5000000009</v>
      </c>
      <c r="AO30" s="8">
        <f t="shared" si="16"/>
        <v>4622719.5000000009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O35"/>
  <sheetViews>
    <sheetView workbookViewId="0">
      <pane xSplit="2" ySplit="8" topLeftCell="R9" activePane="bottomRight" state="frozen"/>
      <selection pane="topRight" activeCell="C1" sqref="C1"/>
      <selection pane="bottomLeft" activeCell="A10" sqref="A10"/>
      <selection pane="bottomRight" activeCell="AB23" sqref="AB23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44140625" customWidth="1"/>
    <col min="5" max="5" width="10.6640625" customWidth="1"/>
    <col min="6" max="6" width="11.6640625" customWidth="1"/>
    <col min="7" max="7" width="10.88671875" customWidth="1"/>
    <col min="8" max="8" width="12.6640625" customWidth="1"/>
    <col min="9" max="9" width="11.109375" customWidth="1"/>
    <col min="10" max="10" width="11.33203125" customWidth="1"/>
    <col min="11" max="11" width="10.44140625" customWidth="1"/>
    <col min="12" max="12" width="12.44140625" customWidth="1"/>
    <col min="13" max="13" width="10.6640625" customWidth="1"/>
    <col min="14" max="14" width="10.44140625" customWidth="1"/>
    <col min="15" max="15" width="13.5546875" customWidth="1"/>
    <col min="16" max="16" width="11.6640625" customWidth="1"/>
    <col min="17" max="17" width="11" customWidth="1"/>
    <col min="18" max="18" width="12.88671875" customWidth="1"/>
    <col min="19" max="19" width="10.5546875" customWidth="1"/>
    <col min="20" max="20" width="13.33203125" customWidth="1"/>
    <col min="21" max="21" width="12.33203125" customWidth="1"/>
    <col min="22" max="23" width="10.88671875" customWidth="1"/>
    <col min="24" max="24" width="11.44140625" customWidth="1"/>
    <col min="25" max="25" width="11" customWidth="1"/>
    <col min="26" max="26" width="10.44140625" customWidth="1"/>
    <col min="27" max="27" width="11.44140625" customWidth="1"/>
    <col min="28" max="28" width="10.44140625" customWidth="1"/>
    <col min="29" max="29" width="11.33203125" customWidth="1"/>
    <col min="30" max="30" width="11.44140625" customWidth="1"/>
    <col min="31" max="31" width="11.5546875" customWidth="1"/>
    <col min="32" max="32" width="11.88671875" customWidth="1"/>
    <col min="33" max="33" width="11.33203125" customWidth="1"/>
    <col min="34" max="34" width="11.6640625" customWidth="1"/>
    <col min="35" max="35" width="11.109375" customWidth="1"/>
    <col min="36" max="36" width="11.88671875" customWidth="1"/>
    <col min="37" max="37" width="10.44140625" customWidth="1"/>
    <col min="38" max="38" width="10.5546875" customWidth="1"/>
    <col min="39" max="40" width="12.5546875" customWidth="1"/>
    <col min="41" max="41" width="12.1093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1.25" customHeight="1">
      <c r="L3" s="1"/>
      <c r="M3" s="1"/>
      <c r="N3" s="1"/>
      <c r="O3" s="1"/>
      <c r="R3" s="1" t="s">
        <v>33</v>
      </c>
      <c r="S3" s="1"/>
      <c r="T3" s="1"/>
    </row>
    <row r="4" spans="1:41" ht="19.5" customHeight="1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41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7" t="s">
        <v>58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41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49" t="s">
        <v>22</v>
      </c>
      <c r="S7" s="50"/>
      <c r="T7" s="51"/>
      <c r="U7" s="49" t="s">
        <v>23</v>
      </c>
      <c r="V7" s="50"/>
      <c r="W7" s="51"/>
      <c r="X7" s="49" t="s">
        <v>24</v>
      </c>
      <c r="Y7" s="50"/>
      <c r="Z7" s="51"/>
      <c r="AA7" s="49" t="s">
        <v>25</v>
      </c>
      <c r="AB7" s="50"/>
      <c r="AC7" s="51"/>
      <c r="AD7" s="49" t="s">
        <v>26</v>
      </c>
      <c r="AE7" s="50"/>
      <c r="AF7" s="51"/>
      <c r="AG7" s="49" t="s">
        <v>27</v>
      </c>
      <c r="AH7" s="50"/>
      <c r="AI7" s="51"/>
      <c r="AJ7" s="49" t="s">
        <v>28</v>
      </c>
      <c r="AK7" s="50"/>
      <c r="AL7" s="51"/>
      <c r="AM7" s="49" t="s">
        <v>29</v>
      </c>
      <c r="AN7" s="50"/>
      <c r="AO7" s="51"/>
    </row>
    <row r="8" spans="1:41" s="13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</row>
    <row r="9" spans="1:41" ht="20.100000000000001" customHeight="1">
      <c r="A9" s="3">
        <v>2111</v>
      </c>
      <c r="B9" s="3" t="s">
        <v>0</v>
      </c>
      <c r="C9" s="4"/>
      <c r="D9" s="4">
        <v>256666.44</v>
      </c>
      <c r="E9" s="4">
        <f>D9+C9</f>
        <v>256666.44</v>
      </c>
      <c r="F9" s="4"/>
      <c r="G9" s="4">
        <v>247901.24</v>
      </c>
      <c r="H9" s="4">
        <f>G9+F9</f>
        <v>247901.24</v>
      </c>
      <c r="I9" s="4"/>
      <c r="J9" s="4">
        <v>264583.95</v>
      </c>
      <c r="K9" s="4">
        <f>J9+I9</f>
        <v>264583.95</v>
      </c>
      <c r="L9" s="4"/>
      <c r="M9" s="4">
        <v>267842.01</v>
      </c>
      <c r="N9" s="4">
        <f>M9+L9</f>
        <v>267842.01</v>
      </c>
      <c r="O9" s="4"/>
      <c r="P9" s="3">
        <v>284748.76</v>
      </c>
      <c r="Q9" s="4">
        <f>P9+O9</f>
        <v>284748.76</v>
      </c>
      <c r="R9" s="3"/>
      <c r="S9" s="3">
        <v>267052.7</v>
      </c>
      <c r="T9" s="4">
        <f>S9+R9</f>
        <v>267052.7</v>
      </c>
      <c r="U9" s="3"/>
      <c r="V9" s="3">
        <v>182717.62</v>
      </c>
      <c r="W9" s="4">
        <f>V9+U9</f>
        <v>182717.62</v>
      </c>
      <c r="X9" s="3"/>
      <c r="Y9" s="3">
        <v>233994.29</v>
      </c>
      <c r="Z9" s="4">
        <f>Y9+X9</f>
        <v>233994.29</v>
      </c>
      <c r="AA9" s="3"/>
      <c r="AB9" s="3">
        <v>298885.56</v>
      </c>
      <c r="AC9" s="4">
        <f>AB9+AA9</f>
        <v>298885.56</v>
      </c>
      <c r="AD9" s="3"/>
      <c r="AE9" s="3"/>
      <c r="AF9" s="4">
        <f>AE9+AD9</f>
        <v>0</v>
      </c>
      <c r="AG9" s="3"/>
      <c r="AH9" s="3"/>
      <c r="AI9" s="4">
        <f>AH9+AG9</f>
        <v>0</v>
      </c>
      <c r="AJ9" s="3"/>
      <c r="AK9" s="3"/>
      <c r="AL9" s="4">
        <f>AK9+AJ9</f>
        <v>0</v>
      </c>
      <c r="AM9" s="4">
        <f>AJ9+AG9+AD9+AA9+X9+U9+R9+O9+L9+I9+F9+C9</f>
        <v>0</v>
      </c>
      <c r="AN9" s="4">
        <f>AK9+AH9+AE9+AB9+Y9+V9+S9+P9+M9+J9+G9+D9</f>
        <v>2304392.5699999998</v>
      </c>
      <c r="AO9" s="4">
        <f>AL9+AI9+AF9+AC9+Z9+W9+T9+Q9+N9+K9+H9+E9</f>
        <v>2304392.5699999998</v>
      </c>
    </row>
    <row r="10" spans="1:41" ht="20.100000000000001" customHeight="1">
      <c r="A10" s="3">
        <v>2120</v>
      </c>
      <c r="B10" s="3" t="s">
        <v>1</v>
      </c>
      <c r="C10" s="4"/>
      <c r="D10" s="4">
        <v>60691.63</v>
      </c>
      <c r="E10" s="4">
        <f t="shared" ref="E10:E29" si="0">D10+C10</f>
        <v>60691.63</v>
      </c>
      <c r="F10" s="4"/>
      <c r="G10" s="4">
        <v>56087.24</v>
      </c>
      <c r="H10" s="4">
        <f t="shared" ref="H10:H29" si="1">G10+F10</f>
        <v>56087.24</v>
      </c>
      <c r="I10" s="4"/>
      <c r="J10" s="4">
        <v>62646.23</v>
      </c>
      <c r="K10" s="4">
        <f t="shared" ref="K10:K29" si="2">J10+I10</f>
        <v>62646.23</v>
      </c>
      <c r="L10" s="4"/>
      <c r="M10" s="4">
        <v>58711.18</v>
      </c>
      <c r="N10" s="4">
        <f t="shared" ref="N10:N29" si="3">M10+L10</f>
        <v>58711.18</v>
      </c>
      <c r="O10" s="4"/>
      <c r="P10" s="3">
        <v>58408.22</v>
      </c>
      <c r="Q10" s="4">
        <f t="shared" ref="Q10:Q29" si="4">P10+O10</f>
        <v>58408.22</v>
      </c>
      <c r="R10" s="3"/>
      <c r="S10" s="3">
        <v>59824.35</v>
      </c>
      <c r="T10" s="4">
        <f t="shared" ref="T10:T29" si="5">S10+R10</f>
        <v>59824.35</v>
      </c>
      <c r="U10" s="3"/>
      <c r="V10" s="3">
        <v>41297.64</v>
      </c>
      <c r="W10" s="4">
        <f t="shared" ref="W10:W29" si="6">V10+U10</f>
        <v>41297.64</v>
      </c>
      <c r="X10" s="3"/>
      <c r="Y10" s="3">
        <v>59935.06</v>
      </c>
      <c r="Z10" s="4">
        <f t="shared" ref="Z10:Z30" si="7">Y10+X10</f>
        <v>59935.06</v>
      </c>
      <c r="AA10" s="3"/>
      <c r="AB10" s="3">
        <v>63740.43</v>
      </c>
      <c r="AC10" s="4">
        <f t="shared" ref="AC10:AC29" si="8">AB10+AA10</f>
        <v>63740.43</v>
      </c>
      <c r="AD10" s="4"/>
      <c r="AE10" s="3"/>
      <c r="AF10" s="4">
        <f t="shared" ref="AF10:AF29" si="9">AE10+AD10</f>
        <v>0</v>
      </c>
      <c r="AG10" s="3"/>
      <c r="AH10" s="3"/>
      <c r="AI10" s="4">
        <f t="shared" ref="AI10:AI29" si="10">AH10+AG10</f>
        <v>0</v>
      </c>
      <c r="AJ10" s="3"/>
      <c r="AK10" s="3"/>
      <c r="AL10" s="4">
        <f t="shared" ref="AL10:AL29" si="11">AK10+AJ10</f>
        <v>0</v>
      </c>
      <c r="AM10" s="4">
        <f t="shared" ref="AM10:AM29" si="12">AJ10+AG10+AD10+AA10+X10+U10+R10+O10+L10+I10+F10+C10</f>
        <v>0</v>
      </c>
      <c r="AN10" s="4">
        <f t="shared" ref="AN10:AN29" si="13">AK10+AH10+AE10+AB10+Y10+V10+S10+P10+M10+J10+G10+D10</f>
        <v>521341.98</v>
      </c>
      <c r="AO10" s="4">
        <f t="shared" ref="AO10:AO29" si="14">AL10+AI10+AF10+AC10+Z10+W10+T10+Q10+N10+K10+H10+E10</f>
        <v>521341.98</v>
      </c>
    </row>
    <row r="11" spans="1:41" ht="20.100000000000001" customHeight="1">
      <c r="A11" s="3">
        <v>2210</v>
      </c>
      <c r="B11" s="3" t="s">
        <v>2</v>
      </c>
      <c r="C11" s="4"/>
      <c r="D11" s="4"/>
      <c r="E11" s="4">
        <f t="shared" si="0"/>
        <v>0</v>
      </c>
      <c r="F11" s="4"/>
      <c r="G11" s="4">
        <v>2260.27</v>
      </c>
      <c r="H11" s="4">
        <f t="shared" si="1"/>
        <v>2260.27</v>
      </c>
      <c r="I11" s="4"/>
      <c r="J11" s="4">
        <v>1291.3599999999999</v>
      </c>
      <c r="K11" s="4">
        <f t="shared" si="2"/>
        <v>1291.3599999999999</v>
      </c>
      <c r="L11" s="4"/>
      <c r="M11" s="4"/>
      <c r="N11" s="4">
        <f t="shared" si="3"/>
        <v>0</v>
      </c>
      <c r="O11" s="8"/>
      <c r="P11" s="3"/>
      <c r="Q11" s="4">
        <f t="shared" si="4"/>
        <v>0</v>
      </c>
      <c r="R11" s="3"/>
      <c r="S11" s="3"/>
      <c r="T11" s="4">
        <f t="shared" si="5"/>
        <v>0</v>
      </c>
      <c r="U11" s="3"/>
      <c r="V11" s="3"/>
      <c r="W11" s="4">
        <f t="shared" si="6"/>
        <v>0</v>
      </c>
      <c r="X11" s="3"/>
      <c r="Y11" s="3"/>
      <c r="Z11" s="4">
        <f t="shared" si="7"/>
        <v>0</v>
      </c>
      <c r="AA11" s="3"/>
      <c r="AB11" s="4">
        <v>4079.05</v>
      </c>
      <c r="AC11" s="4">
        <f t="shared" si="8"/>
        <v>4079.05</v>
      </c>
      <c r="AD11" s="3"/>
      <c r="AE11" s="4"/>
      <c r="AF11" s="4">
        <f t="shared" si="9"/>
        <v>0</v>
      </c>
      <c r="AG11" s="3"/>
      <c r="AH11" s="3"/>
      <c r="AI11" s="4">
        <f t="shared" si="10"/>
        <v>0</v>
      </c>
      <c r="AJ11" s="3"/>
      <c r="AK11" s="3"/>
      <c r="AL11" s="4">
        <f t="shared" si="11"/>
        <v>0</v>
      </c>
      <c r="AM11" s="4">
        <f t="shared" si="12"/>
        <v>0</v>
      </c>
      <c r="AN11" s="4">
        <f t="shared" si="13"/>
        <v>7630.68</v>
      </c>
      <c r="AO11" s="4">
        <f t="shared" si="14"/>
        <v>7630.68</v>
      </c>
    </row>
    <row r="12" spans="1:41" ht="20.100000000000001" customHeight="1">
      <c r="A12" s="3">
        <v>2220</v>
      </c>
      <c r="B12" s="3" t="s">
        <v>3</v>
      </c>
      <c r="C12" s="4"/>
      <c r="D12" s="4"/>
      <c r="E12" s="4">
        <f t="shared" si="0"/>
        <v>0</v>
      </c>
      <c r="F12" s="4"/>
      <c r="G12" s="4"/>
      <c r="H12" s="4">
        <f t="shared" si="1"/>
        <v>0</v>
      </c>
      <c r="I12" s="4"/>
      <c r="J12" s="4">
        <v>280</v>
      </c>
      <c r="K12" s="4">
        <f t="shared" si="2"/>
        <v>280</v>
      </c>
      <c r="L12" s="4"/>
      <c r="M12" s="4"/>
      <c r="N12" s="4">
        <f t="shared" si="3"/>
        <v>0</v>
      </c>
      <c r="O12" s="8"/>
      <c r="P12" s="3">
        <v>112.32</v>
      </c>
      <c r="Q12" s="4">
        <f t="shared" si="4"/>
        <v>112.32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>
        <v>1680</v>
      </c>
      <c r="AC12" s="4">
        <f t="shared" si="8"/>
        <v>1680</v>
      </c>
      <c r="AD12" s="3"/>
      <c r="AE12" s="3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2072.3199999999997</v>
      </c>
      <c r="AO12" s="4">
        <f t="shared" si="14"/>
        <v>2072.3199999999997</v>
      </c>
    </row>
    <row r="13" spans="1:41" ht="20.100000000000001" customHeight="1">
      <c r="A13" s="3">
        <v>2230</v>
      </c>
      <c r="B13" s="3" t="s">
        <v>4</v>
      </c>
      <c r="C13" s="4"/>
      <c r="D13" s="4">
        <v>14700.73</v>
      </c>
      <c r="E13" s="4">
        <f t="shared" si="0"/>
        <v>14700.73</v>
      </c>
      <c r="F13" s="4"/>
      <c r="G13" s="4">
        <v>20999.66</v>
      </c>
      <c r="H13" s="4">
        <f t="shared" si="1"/>
        <v>20999.66</v>
      </c>
      <c r="I13" s="4"/>
      <c r="J13" s="4">
        <v>19450</v>
      </c>
      <c r="K13" s="4">
        <f t="shared" si="2"/>
        <v>19450</v>
      </c>
      <c r="L13" s="4"/>
      <c r="M13" s="4">
        <v>22949.9</v>
      </c>
      <c r="N13" s="4">
        <f t="shared" si="3"/>
        <v>22949.9</v>
      </c>
      <c r="O13" s="4"/>
      <c r="P13" s="4">
        <v>23749.25</v>
      </c>
      <c r="Q13" s="4">
        <f t="shared" si="4"/>
        <v>23749.25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3">
        <v>39498.6</v>
      </c>
      <c r="AC13" s="4">
        <f t="shared" si="8"/>
        <v>39498.6</v>
      </c>
      <c r="AD13" s="3"/>
      <c r="AE13" s="4"/>
      <c r="AF13" s="4">
        <f t="shared" si="9"/>
        <v>0</v>
      </c>
      <c r="AG13" s="3"/>
      <c r="AH13" s="4"/>
      <c r="AI13" s="4">
        <f t="shared" si="10"/>
        <v>0</v>
      </c>
      <c r="AJ13" s="3"/>
      <c r="AK13" s="4"/>
      <c r="AL13" s="4">
        <f t="shared" si="11"/>
        <v>0</v>
      </c>
      <c r="AM13" s="4">
        <f t="shared" si="12"/>
        <v>0</v>
      </c>
      <c r="AN13" s="4">
        <f t="shared" si="13"/>
        <v>141348.14000000001</v>
      </c>
      <c r="AO13" s="4">
        <f t="shared" si="14"/>
        <v>141348.14000000001</v>
      </c>
    </row>
    <row r="14" spans="1:41" ht="20.100000000000001" customHeight="1">
      <c r="A14" s="3">
        <v>2240</v>
      </c>
      <c r="B14" s="3" t="s">
        <v>5</v>
      </c>
      <c r="C14" s="4"/>
      <c r="D14" s="4"/>
      <c r="E14" s="4">
        <f t="shared" si="0"/>
        <v>0</v>
      </c>
      <c r="F14" s="4"/>
      <c r="G14" s="4">
        <f>150+51789.19</f>
        <v>51939.19</v>
      </c>
      <c r="H14" s="4">
        <f t="shared" si="1"/>
        <v>51939.19</v>
      </c>
      <c r="I14" s="4"/>
      <c r="J14" s="4">
        <f>14605.21+150</f>
        <v>14755.21</v>
      </c>
      <c r="K14" s="4">
        <f t="shared" si="2"/>
        <v>14755.21</v>
      </c>
      <c r="L14" s="4"/>
      <c r="M14" s="4">
        <v>39294.910000000003</v>
      </c>
      <c r="N14" s="4">
        <f t="shared" si="3"/>
        <v>39294.910000000003</v>
      </c>
      <c r="O14" s="4"/>
      <c r="P14" s="3">
        <f>17458.91+150</f>
        <v>17608.91</v>
      </c>
      <c r="Q14" s="4">
        <f t="shared" si="4"/>
        <v>17608.91</v>
      </c>
      <c r="R14" s="3"/>
      <c r="S14" s="3">
        <f>28796.38+150</f>
        <v>28946.38</v>
      </c>
      <c r="T14" s="4">
        <f t="shared" si="5"/>
        <v>28946.38</v>
      </c>
      <c r="U14" s="3"/>
      <c r="V14" s="3">
        <f>98350.01+150</f>
        <v>98500.01</v>
      </c>
      <c r="W14" s="4">
        <f t="shared" si="6"/>
        <v>98500.01</v>
      </c>
      <c r="X14" s="3"/>
      <c r="Y14" s="3">
        <f>150+62559.31</f>
        <v>62709.31</v>
      </c>
      <c r="Z14" s="4">
        <f t="shared" si="7"/>
        <v>62709.31</v>
      </c>
      <c r="AA14" s="3"/>
      <c r="AB14" s="3">
        <f>12328.21+150</f>
        <v>12478.21</v>
      </c>
      <c r="AC14" s="4">
        <f t="shared" si="8"/>
        <v>12478.21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2"/>
        <v>0</v>
      </c>
      <c r="AN14" s="4">
        <f t="shared" si="13"/>
        <v>326232.13</v>
      </c>
      <c r="AO14" s="4">
        <f t="shared" si="14"/>
        <v>326232.13</v>
      </c>
    </row>
    <row r="15" spans="1:41" ht="20.100000000000001" customHeight="1">
      <c r="A15" s="3">
        <v>2250</v>
      </c>
      <c r="B15" s="3" t="s">
        <v>6</v>
      </c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8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4"/>
      <c r="AC15" s="4">
        <f t="shared" si="8"/>
        <v>0</v>
      </c>
      <c r="AD15" s="3"/>
      <c r="AE15" s="3"/>
      <c r="AF15" s="4">
        <f t="shared" si="9"/>
        <v>0</v>
      </c>
      <c r="AG15" s="3"/>
      <c r="AH15" s="4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>
        <v>2260</v>
      </c>
      <c r="B16" s="3" t="s">
        <v>7</v>
      </c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8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>
        <v>2271</v>
      </c>
      <c r="B17" s="3" t="s">
        <v>8</v>
      </c>
      <c r="C17" s="4"/>
      <c r="D17" s="4"/>
      <c r="E17" s="4">
        <f t="shared" si="0"/>
        <v>0</v>
      </c>
      <c r="F17" s="4"/>
      <c r="G17" s="4">
        <v>702522.19</v>
      </c>
      <c r="H17" s="4">
        <f t="shared" si="1"/>
        <v>702522.19</v>
      </c>
      <c r="I17" s="4"/>
      <c r="J17" s="4">
        <v>701775.85</v>
      </c>
      <c r="K17" s="4">
        <f t="shared" si="2"/>
        <v>701775.85</v>
      </c>
      <c r="L17" s="4"/>
      <c r="M17" s="4">
        <v>246148.03</v>
      </c>
      <c r="N17" s="4">
        <f t="shared" si="3"/>
        <v>246148.03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1650446.0699999998</v>
      </c>
      <c r="AO17" s="4">
        <f t="shared" si="14"/>
        <v>1650446.0699999998</v>
      </c>
    </row>
    <row r="18" spans="1:41" ht="20.100000000000001" customHeight="1">
      <c r="A18" s="3">
        <v>2272</v>
      </c>
      <c r="B18" s="3" t="s">
        <v>9</v>
      </c>
      <c r="C18" s="4"/>
      <c r="D18" s="4">
        <v>4021.92</v>
      </c>
      <c r="E18" s="4">
        <f t="shared" si="0"/>
        <v>4021.92</v>
      </c>
      <c r="F18" s="4"/>
      <c r="G18" s="4">
        <v>5503.68</v>
      </c>
      <c r="H18" s="4">
        <f t="shared" si="1"/>
        <v>5503.68</v>
      </c>
      <c r="I18" s="4"/>
      <c r="J18" s="4">
        <v>6209.29</v>
      </c>
      <c r="K18" s="4">
        <f t="shared" si="2"/>
        <v>6209.29</v>
      </c>
      <c r="L18" s="4"/>
      <c r="M18" s="4">
        <v>4798.09</v>
      </c>
      <c r="N18" s="4">
        <f t="shared" si="3"/>
        <v>4798.09</v>
      </c>
      <c r="O18" s="4"/>
      <c r="P18" s="3">
        <v>8326.08</v>
      </c>
      <c r="Q18" s="4">
        <f t="shared" si="4"/>
        <v>8326.08</v>
      </c>
      <c r="R18" s="3"/>
      <c r="S18" s="3">
        <v>5355.88</v>
      </c>
      <c r="T18" s="4">
        <f t="shared" si="5"/>
        <v>5355.88</v>
      </c>
      <c r="U18" s="3"/>
      <c r="V18" s="3">
        <v>2118.64</v>
      </c>
      <c r="W18" s="4">
        <f t="shared" si="6"/>
        <v>2118.64</v>
      </c>
      <c r="X18" s="3"/>
      <c r="Y18" s="3">
        <v>2424.6</v>
      </c>
      <c r="Z18" s="4">
        <f t="shared" si="7"/>
        <v>2424.6</v>
      </c>
      <c r="AA18" s="3"/>
      <c r="AB18" s="3">
        <v>6591.31</v>
      </c>
      <c r="AC18" s="4">
        <f t="shared" si="8"/>
        <v>6591.31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45349.49</v>
      </c>
      <c r="AO18" s="4">
        <f t="shared" si="14"/>
        <v>45349.49</v>
      </c>
    </row>
    <row r="19" spans="1:41" ht="20.100000000000001" customHeight="1">
      <c r="A19" s="3">
        <v>2273</v>
      </c>
      <c r="B19" s="3" t="s">
        <v>10</v>
      </c>
      <c r="C19" s="4"/>
      <c r="D19" s="4"/>
      <c r="E19" s="4">
        <f t="shared" si="0"/>
        <v>0</v>
      </c>
      <c r="F19" s="4"/>
      <c r="G19" s="4">
        <v>68806.259999999995</v>
      </c>
      <c r="H19" s="4">
        <f t="shared" si="1"/>
        <v>68806.259999999995</v>
      </c>
      <c r="I19" s="4"/>
      <c r="J19" s="4">
        <v>82319.240000000005</v>
      </c>
      <c r="K19" s="4">
        <f t="shared" si="2"/>
        <v>82319.240000000005</v>
      </c>
      <c r="L19" s="4"/>
      <c r="M19" s="4">
        <v>68110.11</v>
      </c>
      <c r="N19" s="4">
        <f t="shared" si="3"/>
        <v>68110.11</v>
      </c>
      <c r="O19" s="4"/>
      <c r="P19" s="3">
        <v>75964.289999999994</v>
      </c>
      <c r="Q19" s="4">
        <f t="shared" si="4"/>
        <v>75964.289999999994</v>
      </c>
      <c r="R19" s="3"/>
      <c r="S19" s="3">
        <v>81361.960000000006</v>
      </c>
      <c r="T19" s="4">
        <f t="shared" si="5"/>
        <v>81361.960000000006</v>
      </c>
      <c r="U19" s="3"/>
      <c r="V19" s="3">
        <v>10495.09</v>
      </c>
      <c r="W19" s="4">
        <f t="shared" si="6"/>
        <v>10495.09</v>
      </c>
      <c r="X19" s="3"/>
      <c r="Y19" s="3">
        <v>3830.53</v>
      </c>
      <c r="Z19" s="4">
        <f t="shared" si="7"/>
        <v>3830.53</v>
      </c>
      <c r="AA19" s="3"/>
      <c r="AB19" s="3">
        <v>8506.5</v>
      </c>
      <c r="AC19" s="4">
        <f t="shared" si="8"/>
        <v>8506.5</v>
      </c>
      <c r="AD19" s="3"/>
      <c r="AE19" s="4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2"/>
        <v>0</v>
      </c>
      <c r="AN19" s="4">
        <f t="shared" si="13"/>
        <v>399393.98</v>
      </c>
      <c r="AO19" s="4">
        <f t="shared" si="14"/>
        <v>399393.98</v>
      </c>
    </row>
    <row r="20" spans="1:41" ht="20.100000000000001" customHeight="1">
      <c r="A20" s="3">
        <v>2274</v>
      </c>
      <c r="B20" s="3" t="s">
        <v>11</v>
      </c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4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>
        <v>2275</v>
      </c>
      <c r="B21" s="3" t="s">
        <v>12</v>
      </c>
      <c r="C21" s="4"/>
      <c r="D21" s="4">
        <v>13044.09</v>
      </c>
      <c r="E21" s="4">
        <f t="shared" si="0"/>
        <v>13044.09</v>
      </c>
      <c r="F21" s="4"/>
      <c r="G21" s="4">
        <v>4316.95</v>
      </c>
      <c r="H21" s="4">
        <f t="shared" si="1"/>
        <v>4316.95</v>
      </c>
      <c r="I21" s="4"/>
      <c r="J21" s="4">
        <v>1224.72</v>
      </c>
      <c r="K21" s="4">
        <f t="shared" si="2"/>
        <v>1224.72</v>
      </c>
      <c r="L21" s="4"/>
      <c r="M21" s="4">
        <v>1307.1199999999999</v>
      </c>
      <c r="N21" s="4">
        <f t="shared" si="3"/>
        <v>1307.1199999999999</v>
      </c>
      <c r="O21" s="4"/>
      <c r="P21" s="3">
        <v>15045.7</v>
      </c>
      <c r="Q21" s="4">
        <f t="shared" si="4"/>
        <v>15045.7</v>
      </c>
      <c r="R21" s="3"/>
      <c r="S21" s="3">
        <v>1103.0999999999999</v>
      </c>
      <c r="T21" s="4">
        <f t="shared" si="5"/>
        <v>1103.0999999999999</v>
      </c>
      <c r="U21" s="3"/>
      <c r="V21" s="3">
        <v>1308.19</v>
      </c>
      <c r="W21" s="4">
        <f t="shared" si="6"/>
        <v>1308.19</v>
      </c>
      <c r="X21" s="3"/>
      <c r="Y21" s="3">
        <v>1523.57</v>
      </c>
      <c r="Z21" s="4">
        <f t="shared" si="7"/>
        <v>1523.57</v>
      </c>
      <c r="AA21" s="3"/>
      <c r="AB21" s="3">
        <v>2131.5500000000002</v>
      </c>
      <c r="AC21" s="4">
        <f t="shared" si="8"/>
        <v>2131.5500000000002</v>
      </c>
      <c r="AD21" s="3"/>
      <c r="AE21" s="3"/>
      <c r="AF21" s="4">
        <f t="shared" si="9"/>
        <v>0</v>
      </c>
      <c r="AG21" s="3"/>
      <c r="AH21" s="4"/>
      <c r="AI21" s="4">
        <f t="shared" si="10"/>
        <v>0</v>
      </c>
      <c r="AJ21" s="3"/>
      <c r="AK21" s="4"/>
      <c r="AL21" s="4">
        <f t="shared" si="11"/>
        <v>0</v>
      </c>
      <c r="AM21" s="4">
        <f t="shared" si="12"/>
        <v>0</v>
      </c>
      <c r="AN21" s="4">
        <f t="shared" si="13"/>
        <v>41004.990000000005</v>
      </c>
      <c r="AO21" s="4">
        <f t="shared" si="14"/>
        <v>41004.990000000005</v>
      </c>
    </row>
    <row r="22" spans="1:41" ht="44.25" customHeight="1">
      <c r="A22" s="6">
        <v>2282</v>
      </c>
      <c r="B22" s="5" t="s">
        <v>13</v>
      </c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>
        <v>600</v>
      </c>
      <c r="T22" s="4">
        <f t="shared" si="5"/>
        <v>600</v>
      </c>
      <c r="U22" s="3"/>
      <c r="V22" s="3"/>
      <c r="W22" s="4">
        <f t="shared" si="6"/>
        <v>0</v>
      </c>
      <c r="X22" s="3"/>
      <c r="Y22" s="3">
        <v>320</v>
      </c>
      <c r="Z22" s="4">
        <f t="shared" si="7"/>
        <v>320</v>
      </c>
      <c r="AA22" s="3"/>
      <c r="AB22" s="4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2"/>
        <v>0</v>
      </c>
      <c r="AN22" s="4">
        <f t="shared" si="13"/>
        <v>920</v>
      </c>
      <c r="AO22" s="4">
        <f t="shared" si="14"/>
        <v>920</v>
      </c>
    </row>
    <row r="23" spans="1:41" ht="21.75" customHeight="1">
      <c r="A23" s="6">
        <v>2700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4"/>
      <c r="AC23" s="4"/>
      <c r="AD23" s="3"/>
      <c r="AE23" s="3"/>
      <c r="AF23" s="4"/>
      <c r="AG23" s="3"/>
      <c r="AH23" s="3"/>
      <c r="AI23" s="4"/>
      <c r="AJ23" s="3"/>
      <c r="AK23" s="3"/>
      <c r="AL23" s="4"/>
      <c r="AM23" s="4"/>
      <c r="AN23" s="4"/>
      <c r="AO23" s="4"/>
    </row>
    <row r="24" spans="1:41" ht="22.5" customHeight="1">
      <c r="A24" s="3">
        <v>2800</v>
      </c>
      <c r="B24" s="3" t="s">
        <v>44</v>
      </c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4"/>
      <c r="P24" s="4">
        <v>19470.39</v>
      </c>
      <c r="Q24" s="4">
        <f t="shared" si="4"/>
        <v>19470.39</v>
      </c>
      <c r="R24" s="4"/>
      <c r="S24" s="4"/>
      <c r="T24" s="4">
        <f t="shared" si="5"/>
        <v>0</v>
      </c>
      <c r="U24" s="4"/>
      <c r="V24" s="4"/>
      <c r="W24" s="4">
        <f t="shared" si="6"/>
        <v>0</v>
      </c>
      <c r="X24" s="4"/>
      <c r="Y24" s="4">
        <v>-25447.439999999999</v>
      </c>
      <c r="Z24" s="4">
        <f t="shared" si="7"/>
        <v>-25447.439999999999</v>
      </c>
      <c r="AA24" s="4"/>
      <c r="AB24" s="4"/>
      <c r="AC24" s="4">
        <f t="shared" si="8"/>
        <v>0</v>
      </c>
      <c r="AD24" s="4"/>
      <c r="AE24" s="4"/>
      <c r="AF24" s="4">
        <f t="shared" si="9"/>
        <v>0</v>
      </c>
      <c r="AG24" s="4"/>
      <c r="AH24" s="4"/>
      <c r="AI24" s="4">
        <f t="shared" si="10"/>
        <v>0</v>
      </c>
      <c r="AJ24" s="4"/>
      <c r="AK24" s="4"/>
      <c r="AL24" s="4">
        <f t="shared" si="11"/>
        <v>0</v>
      </c>
      <c r="AM24" s="4">
        <f t="shared" ref="AM24" si="15">AL24+AK24</f>
        <v>0</v>
      </c>
      <c r="AN24" s="4">
        <f t="shared" si="13"/>
        <v>-5977.0499999999993</v>
      </c>
      <c r="AO24" s="4">
        <f t="shared" ref="AO24" si="16">AN24+AM24</f>
        <v>-5977.0499999999993</v>
      </c>
    </row>
    <row r="25" spans="1:41" ht="26.25" customHeight="1">
      <c r="A25" s="3">
        <v>3110</v>
      </c>
      <c r="B25" s="5" t="s">
        <v>15</v>
      </c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>
        <v>3132</v>
      </c>
      <c r="B26" s="3" t="s">
        <v>16</v>
      </c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34.5" customHeight="1">
      <c r="A27" s="6"/>
      <c r="B27" s="5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20.100000000000001" customHeight="1">
      <c r="A28" s="3">
        <v>2730</v>
      </c>
      <c r="B28" s="3"/>
      <c r="C28" s="4"/>
      <c r="D28" s="4"/>
      <c r="E28" s="4">
        <f t="shared" si="0"/>
        <v>0</v>
      </c>
      <c r="F28" s="4"/>
      <c r="G28" s="4"/>
      <c r="H28" s="4">
        <f t="shared" si="1"/>
        <v>0</v>
      </c>
      <c r="I28" s="4"/>
      <c r="J28" s="4"/>
      <c r="K28" s="4">
        <f t="shared" si="2"/>
        <v>0</v>
      </c>
      <c r="L28" s="4"/>
      <c r="M28" s="4"/>
      <c r="N28" s="4">
        <f t="shared" si="3"/>
        <v>0</v>
      </c>
      <c r="O28" s="8"/>
      <c r="P28" s="3"/>
      <c r="Q28" s="4">
        <f t="shared" si="4"/>
        <v>0</v>
      </c>
      <c r="R28" s="3"/>
      <c r="S28" s="3"/>
      <c r="T28" s="4">
        <f t="shared" si="5"/>
        <v>0</v>
      </c>
      <c r="U28" s="3"/>
      <c r="V28" s="3"/>
      <c r="W28" s="4">
        <f t="shared" si="6"/>
        <v>0</v>
      </c>
      <c r="X28" s="3"/>
      <c r="Y28" s="3"/>
      <c r="Z28" s="4">
        <f t="shared" si="7"/>
        <v>0</v>
      </c>
      <c r="AA28" s="3"/>
      <c r="AB28" s="4"/>
      <c r="AC28" s="4">
        <f t="shared" si="8"/>
        <v>0</v>
      </c>
      <c r="AD28" s="3"/>
      <c r="AE28" s="3"/>
      <c r="AF28" s="4">
        <f t="shared" si="9"/>
        <v>0</v>
      </c>
      <c r="AG28" s="3"/>
      <c r="AH28" s="3"/>
      <c r="AI28" s="4">
        <f t="shared" si="10"/>
        <v>0</v>
      </c>
      <c r="AJ28" s="3"/>
      <c r="AK28" s="3"/>
      <c r="AL28" s="4">
        <f t="shared" si="11"/>
        <v>0</v>
      </c>
      <c r="AM28" s="4">
        <f t="shared" si="12"/>
        <v>0</v>
      </c>
      <c r="AN28" s="4">
        <f t="shared" si="13"/>
        <v>0</v>
      </c>
      <c r="AO28" s="4">
        <f t="shared" si="14"/>
        <v>0</v>
      </c>
    </row>
    <row r="29" spans="1:41" ht="20.100000000000001" customHeight="1">
      <c r="A29" s="3">
        <v>7520</v>
      </c>
      <c r="B29" s="3" t="s">
        <v>65</v>
      </c>
      <c r="C29" s="4"/>
      <c r="D29" s="4"/>
      <c r="E29" s="4">
        <f t="shared" si="0"/>
        <v>0</v>
      </c>
      <c r="F29" s="4"/>
      <c r="G29" s="4">
        <v>1435</v>
      </c>
      <c r="H29" s="4">
        <f t="shared" si="1"/>
        <v>1435</v>
      </c>
      <c r="I29" s="4"/>
      <c r="J29" s="4">
        <v>1435</v>
      </c>
      <c r="K29" s="4">
        <f t="shared" si="2"/>
        <v>1435</v>
      </c>
      <c r="L29" s="4"/>
      <c r="M29" s="4">
        <v>2360</v>
      </c>
      <c r="N29" s="4">
        <f t="shared" si="3"/>
        <v>2360</v>
      </c>
      <c r="O29" s="8"/>
      <c r="P29" s="3">
        <v>1435</v>
      </c>
      <c r="Q29" s="4">
        <f t="shared" si="4"/>
        <v>1435</v>
      </c>
      <c r="R29" s="3"/>
      <c r="S29" s="3">
        <v>1435</v>
      </c>
      <c r="T29" s="4">
        <f t="shared" si="5"/>
        <v>1435</v>
      </c>
      <c r="U29" s="3"/>
      <c r="V29" s="3">
        <v>2360</v>
      </c>
      <c r="W29" s="4">
        <f t="shared" si="6"/>
        <v>2360</v>
      </c>
      <c r="X29" s="3"/>
      <c r="Y29" s="3">
        <v>1435</v>
      </c>
      <c r="Z29" s="4">
        <f t="shared" si="7"/>
        <v>1435</v>
      </c>
      <c r="AA29" s="3"/>
      <c r="AB29" s="4">
        <v>1435</v>
      </c>
      <c r="AC29" s="4">
        <f t="shared" si="8"/>
        <v>1435</v>
      </c>
      <c r="AD29" s="3"/>
      <c r="AE29" s="3"/>
      <c r="AF29" s="4">
        <f t="shared" si="9"/>
        <v>0</v>
      </c>
      <c r="AG29" s="3"/>
      <c r="AH29" s="3"/>
      <c r="AI29" s="4">
        <f t="shared" si="10"/>
        <v>0</v>
      </c>
      <c r="AJ29" s="3"/>
      <c r="AK29" s="3"/>
      <c r="AL29" s="4">
        <f t="shared" si="11"/>
        <v>0</v>
      </c>
      <c r="AM29" s="4">
        <f t="shared" si="12"/>
        <v>0</v>
      </c>
      <c r="AN29" s="4">
        <f t="shared" si="13"/>
        <v>13330</v>
      </c>
      <c r="AO29" s="4">
        <f t="shared" si="14"/>
        <v>13330</v>
      </c>
    </row>
    <row r="30" spans="1:41" ht="33.75" customHeight="1">
      <c r="A30" s="7"/>
      <c r="B30" s="7" t="s">
        <v>30</v>
      </c>
      <c r="C30" s="8">
        <f>SUM(C9:C28)</f>
        <v>0</v>
      </c>
      <c r="D30" s="8">
        <f t="shared" ref="D30:AO30" si="17">SUM(D9:D28)</f>
        <v>349124.81</v>
      </c>
      <c r="E30" s="8">
        <f t="shared" si="17"/>
        <v>349124.81</v>
      </c>
      <c r="F30" s="8">
        <f t="shared" si="17"/>
        <v>0</v>
      </c>
      <c r="G30" s="8">
        <f>SUM(G9:G29)</f>
        <v>1161771.68</v>
      </c>
      <c r="H30" s="8">
        <f>SUM(H9:H29)</f>
        <v>1161771.68</v>
      </c>
      <c r="I30" s="8">
        <f t="shared" si="17"/>
        <v>0</v>
      </c>
      <c r="J30" s="8">
        <f t="shared" si="17"/>
        <v>1154535.8500000001</v>
      </c>
      <c r="K30" s="8">
        <f>J30+I30</f>
        <v>1154535.8500000001</v>
      </c>
      <c r="L30" s="8">
        <f t="shared" si="17"/>
        <v>0</v>
      </c>
      <c r="M30" s="8">
        <f t="shared" si="17"/>
        <v>709161.35</v>
      </c>
      <c r="N30" s="8">
        <f>M30+L30</f>
        <v>709161.35</v>
      </c>
      <c r="O30" s="8">
        <f t="shared" si="17"/>
        <v>0</v>
      </c>
      <c r="P30" s="8">
        <f t="shared" si="17"/>
        <v>503433.92</v>
      </c>
      <c r="Q30" s="8">
        <f>P30+O30</f>
        <v>503433.92</v>
      </c>
      <c r="R30" s="8">
        <f t="shared" si="17"/>
        <v>0</v>
      </c>
      <c r="S30" s="8">
        <f t="shared" si="17"/>
        <v>444244.37</v>
      </c>
      <c r="T30" s="8">
        <f>S30+R30</f>
        <v>444244.37</v>
      </c>
      <c r="U30" s="8">
        <f t="shared" si="17"/>
        <v>0</v>
      </c>
      <c r="V30" s="8">
        <f t="shared" si="17"/>
        <v>336437.19000000006</v>
      </c>
      <c r="W30" s="8">
        <f>V30+U30</f>
        <v>336437.19000000006</v>
      </c>
      <c r="X30" s="8">
        <f t="shared" si="17"/>
        <v>0</v>
      </c>
      <c r="Y30" s="8">
        <f t="shared" si="17"/>
        <v>339289.92</v>
      </c>
      <c r="Z30" s="8">
        <f t="shared" si="7"/>
        <v>339289.92</v>
      </c>
      <c r="AA30" s="8">
        <f t="shared" si="17"/>
        <v>0</v>
      </c>
      <c r="AB30" s="8">
        <f t="shared" si="17"/>
        <v>437591.20999999996</v>
      </c>
      <c r="AC30" s="8">
        <f>AB30+AA30</f>
        <v>437591.20999999996</v>
      </c>
      <c r="AD30" s="8">
        <f t="shared" si="17"/>
        <v>0</v>
      </c>
      <c r="AE30" s="8">
        <f t="shared" si="17"/>
        <v>0</v>
      </c>
      <c r="AF30" s="8">
        <f>AE30+AD30</f>
        <v>0</v>
      </c>
      <c r="AG30" s="8">
        <f t="shared" si="17"/>
        <v>0</v>
      </c>
      <c r="AH30" s="8">
        <f t="shared" si="17"/>
        <v>0</v>
      </c>
      <c r="AI30" s="8">
        <f>AH30+AG30</f>
        <v>0</v>
      </c>
      <c r="AJ30" s="8">
        <f t="shared" si="17"/>
        <v>0</v>
      </c>
      <c r="AK30" s="8">
        <f t="shared" si="17"/>
        <v>0</v>
      </c>
      <c r="AL30" s="8">
        <f>AK30+AJ30</f>
        <v>0</v>
      </c>
      <c r="AM30" s="8">
        <f t="shared" si="17"/>
        <v>0</v>
      </c>
      <c r="AN30" s="8">
        <f t="shared" si="17"/>
        <v>5434155.2999999998</v>
      </c>
      <c r="AO30" s="8">
        <f t="shared" si="17"/>
        <v>5434155.2999999998</v>
      </c>
    </row>
    <row r="33" spans="1:9" ht="17.399999999999999">
      <c r="A33" s="12" t="s">
        <v>38</v>
      </c>
      <c r="B33" s="12"/>
      <c r="C33" s="2"/>
      <c r="D33" s="2"/>
      <c r="E33" s="2"/>
      <c r="F33" s="2"/>
      <c r="G33" s="2"/>
      <c r="H33" s="2"/>
      <c r="I33" s="2"/>
    </row>
    <row r="35" spans="1:9">
      <c r="A35" t="s">
        <v>39</v>
      </c>
    </row>
  </sheetData>
  <mergeCells count="17">
    <mergeCell ref="AM7:AO7"/>
    <mergeCell ref="U7:W7"/>
    <mergeCell ref="X7:Z7"/>
    <mergeCell ref="AA7:AC7"/>
    <mergeCell ref="AD7:AF7"/>
    <mergeCell ref="AG7:AI7"/>
    <mergeCell ref="AJ7:AL7"/>
    <mergeCell ref="A4:O4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O33"/>
  <sheetViews>
    <sheetView workbookViewId="0">
      <pane xSplit="2" ySplit="9" topLeftCell="W10" activePane="bottomRight" state="frozen"/>
      <selection pane="topRight" activeCell="C1" sqref="C1"/>
      <selection pane="bottomLeft" activeCell="A10" sqref="A10"/>
      <selection pane="bottomRight" activeCell="A10" sqref="A10:B27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5546875" customWidth="1"/>
    <col min="5" max="5" width="10.6640625" customWidth="1"/>
    <col min="6" max="6" width="11.6640625" customWidth="1"/>
    <col min="7" max="7" width="10.88671875" customWidth="1"/>
    <col min="8" max="8" width="10.6640625" customWidth="1"/>
    <col min="9" max="9" width="11.109375" customWidth="1"/>
    <col min="10" max="10" width="11.5546875" customWidth="1"/>
    <col min="11" max="11" width="10.44140625" customWidth="1"/>
    <col min="12" max="12" width="12.44140625" customWidth="1"/>
    <col min="13" max="13" width="10.6640625" customWidth="1"/>
    <col min="14" max="14" width="11.44140625" customWidth="1"/>
    <col min="15" max="15" width="13.5546875" customWidth="1"/>
    <col min="16" max="16" width="11.5546875" customWidth="1"/>
    <col min="17" max="18" width="11.44140625" customWidth="1"/>
    <col min="19" max="19" width="11.5546875" customWidth="1"/>
    <col min="20" max="20" width="10.6640625" customWidth="1"/>
    <col min="21" max="21" width="12.33203125" customWidth="1"/>
    <col min="22" max="22" width="10.5546875" customWidth="1"/>
    <col min="23" max="23" width="10.88671875" customWidth="1"/>
    <col min="24" max="24" width="11.44140625" customWidth="1"/>
    <col min="25" max="26" width="11.109375" customWidth="1"/>
    <col min="27" max="27" width="11.44140625" customWidth="1"/>
    <col min="28" max="29" width="11.33203125" customWidth="1"/>
    <col min="30" max="30" width="11.44140625" customWidth="1"/>
    <col min="31" max="31" width="12.5546875" customWidth="1"/>
    <col min="32" max="32" width="11.5546875" customWidth="1"/>
    <col min="33" max="33" width="11.33203125" customWidth="1"/>
    <col min="34" max="34" width="10.5546875" customWidth="1"/>
    <col min="35" max="35" width="11.109375" customWidth="1"/>
    <col min="36" max="36" width="11.88671875" customWidth="1"/>
    <col min="37" max="37" width="11.109375" customWidth="1"/>
    <col min="38" max="38" width="11.6640625" customWidth="1"/>
    <col min="39" max="39" width="12.33203125" customWidth="1"/>
    <col min="40" max="40" width="12" customWidth="1"/>
    <col min="41" max="41" width="12.1093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1.25" customHeight="1">
      <c r="L4" s="1"/>
      <c r="M4" s="1"/>
      <c r="N4" s="1"/>
      <c r="O4" s="1"/>
      <c r="R4" s="1" t="s">
        <v>33</v>
      </c>
      <c r="S4" s="1"/>
      <c r="T4" s="1"/>
    </row>
    <row r="5" spans="1:41" ht="19.5" customHeight="1">
      <c r="A5" s="54" t="s">
        <v>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4" t="s">
        <v>59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41" ht="19.5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41" ht="35.25" customHeight="1">
      <c r="A8" s="52"/>
      <c r="B8" s="53"/>
      <c r="C8" s="52" t="s">
        <v>17</v>
      </c>
      <c r="D8" s="55"/>
      <c r="E8" s="53"/>
      <c r="F8" s="52" t="s">
        <v>18</v>
      </c>
      <c r="G8" s="55"/>
      <c r="H8" s="53"/>
      <c r="I8" s="52" t="s">
        <v>19</v>
      </c>
      <c r="J8" s="55"/>
      <c r="K8" s="53"/>
      <c r="L8" s="52" t="s">
        <v>20</v>
      </c>
      <c r="M8" s="55"/>
      <c r="N8" s="53"/>
      <c r="O8" s="52" t="s">
        <v>21</v>
      </c>
      <c r="P8" s="55"/>
      <c r="Q8" s="53"/>
      <c r="R8" s="49" t="s">
        <v>22</v>
      </c>
      <c r="S8" s="50"/>
      <c r="T8" s="51"/>
      <c r="U8" s="49" t="s">
        <v>23</v>
      </c>
      <c r="V8" s="50"/>
      <c r="W8" s="51"/>
      <c r="X8" s="49" t="s">
        <v>24</v>
      </c>
      <c r="Y8" s="50"/>
      <c r="Z8" s="51"/>
      <c r="AA8" s="49" t="s">
        <v>25</v>
      </c>
      <c r="AB8" s="50"/>
      <c r="AC8" s="51"/>
      <c r="AD8" s="49" t="s">
        <v>26</v>
      </c>
      <c r="AE8" s="50"/>
      <c r="AF8" s="51"/>
      <c r="AG8" s="49" t="s">
        <v>27</v>
      </c>
      <c r="AH8" s="50"/>
      <c r="AI8" s="51"/>
      <c r="AJ8" s="49" t="s">
        <v>28</v>
      </c>
      <c r="AK8" s="50"/>
      <c r="AL8" s="51"/>
      <c r="AM8" s="49" t="s">
        <v>29</v>
      </c>
      <c r="AN8" s="50"/>
      <c r="AO8" s="51"/>
    </row>
    <row r="9" spans="1:41" s="13" customFormat="1" ht="24" customHeight="1">
      <c r="A9" s="10"/>
      <c r="B9" s="11"/>
      <c r="C9" s="9" t="s">
        <v>36</v>
      </c>
      <c r="D9" s="9" t="s">
        <v>43</v>
      </c>
      <c r="E9" s="9" t="s">
        <v>37</v>
      </c>
      <c r="F9" s="9" t="s">
        <v>36</v>
      </c>
      <c r="G9" s="9" t="s">
        <v>43</v>
      </c>
      <c r="H9" s="9" t="s">
        <v>37</v>
      </c>
      <c r="I9" s="9" t="s">
        <v>36</v>
      </c>
      <c r="J9" s="9" t="s">
        <v>43</v>
      </c>
      <c r="K9" s="9" t="s">
        <v>37</v>
      </c>
      <c r="L9" s="9" t="s">
        <v>36</v>
      </c>
      <c r="M9" s="9" t="s">
        <v>43</v>
      </c>
      <c r="N9" s="9" t="s">
        <v>37</v>
      </c>
      <c r="O9" s="9" t="s">
        <v>36</v>
      </c>
      <c r="P9" s="9" t="s">
        <v>43</v>
      </c>
      <c r="Q9" s="9" t="s">
        <v>37</v>
      </c>
      <c r="R9" s="9" t="s">
        <v>36</v>
      </c>
      <c r="S9" s="9" t="s">
        <v>43</v>
      </c>
      <c r="T9" s="9" t="s">
        <v>37</v>
      </c>
      <c r="U9" s="9" t="s">
        <v>36</v>
      </c>
      <c r="V9" s="9" t="s">
        <v>43</v>
      </c>
      <c r="W9" s="9" t="s">
        <v>37</v>
      </c>
      <c r="X9" s="9" t="s">
        <v>36</v>
      </c>
      <c r="Y9" s="9" t="s">
        <v>43</v>
      </c>
      <c r="Z9" s="9" t="s">
        <v>37</v>
      </c>
      <c r="AA9" s="9" t="s">
        <v>36</v>
      </c>
      <c r="AB9" s="9" t="s">
        <v>43</v>
      </c>
      <c r="AC9" s="9" t="s">
        <v>37</v>
      </c>
      <c r="AD9" s="9" t="s">
        <v>36</v>
      </c>
      <c r="AE9" s="9" t="s">
        <v>43</v>
      </c>
      <c r="AF9" s="9" t="s">
        <v>37</v>
      </c>
      <c r="AG9" s="9" t="s">
        <v>36</v>
      </c>
      <c r="AH9" s="9" t="s">
        <v>43</v>
      </c>
      <c r="AI9" s="9" t="s">
        <v>37</v>
      </c>
      <c r="AJ9" s="9" t="s">
        <v>36</v>
      </c>
      <c r="AK9" s="9" t="s">
        <v>43</v>
      </c>
      <c r="AL9" s="9" t="s">
        <v>37</v>
      </c>
      <c r="AM9" s="9" t="s">
        <v>36</v>
      </c>
      <c r="AN9" s="9" t="s">
        <v>43</v>
      </c>
      <c r="AO9" s="9" t="s">
        <v>37</v>
      </c>
    </row>
    <row r="10" spans="1:41" ht="20.100000000000001" customHeight="1">
      <c r="A10" s="3"/>
      <c r="B10" s="3"/>
      <c r="C10" s="4"/>
      <c r="D10" s="4"/>
      <c r="E10" s="4">
        <f>D10+C10</f>
        <v>0</v>
      </c>
      <c r="F10" s="4"/>
      <c r="G10" s="4"/>
      <c r="H10" s="4">
        <f>G10+F10</f>
        <v>0</v>
      </c>
      <c r="I10" s="4"/>
      <c r="J10" s="4"/>
      <c r="K10" s="4">
        <f>J10+I10</f>
        <v>0</v>
      </c>
      <c r="L10" s="4"/>
      <c r="M10" s="4"/>
      <c r="N10" s="4">
        <f>M10+L10</f>
        <v>0</v>
      </c>
      <c r="O10" s="4"/>
      <c r="P10" s="3"/>
      <c r="Q10" s="4">
        <f>P10+O10</f>
        <v>0</v>
      </c>
      <c r="R10" s="3"/>
      <c r="S10" s="3"/>
      <c r="T10" s="4">
        <f>S10+R10</f>
        <v>0</v>
      </c>
      <c r="U10" s="3"/>
      <c r="V10" s="3"/>
      <c r="W10" s="4">
        <f>V10+U10</f>
        <v>0</v>
      </c>
      <c r="X10" s="3"/>
      <c r="Y10" s="3"/>
      <c r="Z10" s="4">
        <f>Y10+X10</f>
        <v>0</v>
      </c>
      <c r="AA10" s="3"/>
      <c r="AB10" s="3"/>
      <c r="AC10" s="4">
        <f>AB10+AA10</f>
        <v>0</v>
      </c>
      <c r="AD10" s="3"/>
      <c r="AE10" s="3"/>
      <c r="AF10" s="4">
        <f>AE10+AD10</f>
        <v>0</v>
      </c>
      <c r="AG10" s="3"/>
      <c r="AH10" s="3"/>
      <c r="AI10" s="4">
        <f>AH10+AG10</f>
        <v>0</v>
      </c>
      <c r="AJ10" s="3"/>
      <c r="AK10" s="3"/>
      <c r="AL10" s="4">
        <f>AK10+AJ10</f>
        <v>0</v>
      </c>
      <c r="AM10" s="4">
        <f>C10+F10+I10</f>
        <v>0</v>
      </c>
      <c r="AN10" s="4">
        <f t="shared" ref="AN10:AN27" si="0">AK10+AH10+AE10+AB10+Y10+V10+S10+P10+M10+J10+G10+D10</f>
        <v>0</v>
      </c>
      <c r="AO10" s="4">
        <f t="shared" ref="AO10:AO27" si="1">AL10+AI10+AF10+AC10+Z10+W10+T10+Q10+N10+K10+H10+E10</f>
        <v>0</v>
      </c>
    </row>
    <row r="11" spans="1:41" ht="20.100000000000001" customHeight="1">
      <c r="A11" s="3"/>
      <c r="B11" s="3"/>
      <c r="C11" s="4"/>
      <c r="D11" s="4"/>
      <c r="E11" s="4">
        <f t="shared" ref="E11:E27" si="2">D11+C11</f>
        <v>0</v>
      </c>
      <c r="F11" s="4"/>
      <c r="G11" s="4"/>
      <c r="H11" s="4">
        <f t="shared" ref="H11:H27" si="3">G11+F11</f>
        <v>0</v>
      </c>
      <c r="I11" s="4"/>
      <c r="J11" s="4"/>
      <c r="K11" s="4">
        <f t="shared" ref="K11:K27" si="4">J11+I11</f>
        <v>0</v>
      </c>
      <c r="L11" s="4"/>
      <c r="M11" s="4"/>
      <c r="N11" s="4">
        <f t="shared" ref="N11:N27" si="5">M11+L11</f>
        <v>0</v>
      </c>
      <c r="O11" s="4"/>
      <c r="P11" s="3"/>
      <c r="Q11" s="4">
        <f t="shared" ref="Q11:Q27" si="6">P11+O11</f>
        <v>0</v>
      </c>
      <c r="R11" s="3"/>
      <c r="S11" s="3"/>
      <c r="T11" s="4">
        <f t="shared" ref="T11:T27" si="7">S11+R11</f>
        <v>0</v>
      </c>
      <c r="U11" s="3"/>
      <c r="V11" s="3"/>
      <c r="W11" s="4">
        <f t="shared" ref="W11:W27" si="8">V11+U11</f>
        <v>0</v>
      </c>
      <c r="X11" s="3"/>
      <c r="Y11" s="3"/>
      <c r="Z11" s="4">
        <f t="shared" ref="Z11:Z28" si="9">Y11+X11</f>
        <v>0</v>
      </c>
      <c r="AA11" s="3"/>
      <c r="AB11" s="3"/>
      <c r="AC11" s="4">
        <f t="shared" ref="AC11:AC27" si="10">AB11+AA11</f>
        <v>0</v>
      </c>
      <c r="AD11" s="3"/>
      <c r="AE11" s="3"/>
      <c r="AF11" s="4">
        <f t="shared" ref="AF11:AF27" si="11">AE11+AD11</f>
        <v>0</v>
      </c>
      <c r="AG11" s="3"/>
      <c r="AH11" s="3"/>
      <c r="AI11" s="4">
        <f t="shared" ref="AI11:AI27" si="12">AH11+AG11</f>
        <v>0</v>
      </c>
      <c r="AJ11" s="4"/>
      <c r="AK11" s="3"/>
      <c r="AL11" s="4">
        <f t="shared" ref="AL11:AL27" si="13">AK11+AJ11</f>
        <v>0</v>
      </c>
      <c r="AM11" s="4">
        <f t="shared" ref="AM11:AM27" si="14">AJ11+AG11+AD11+AA11+X11+U11+R11+O11+L11+I11+F11+C11</f>
        <v>0</v>
      </c>
      <c r="AN11" s="4">
        <f t="shared" si="0"/>
        <v>0</v>
      </c>
      <c r="AO11" s="4">
        <f t="shared" si="1"/>
        <v>0</v>
      </c>
    </row>
    <row r="12" spans="1:41" ht="20.100000000000001" customHeight="1">
      <c r="A12" s="3"/>
      <c r="B12" s="3"/>
      <c r="C12" s="4"/>
      <c r="D12" s="4"/>
      <c r="E12" s="4">
        <f t="shared" si="2"/>
        <v>0</v>
      </c>
      <c r="F12" s="4"/>
      <c r="G12" s="4"/>
      <c r="H12" s="4">
        <f t="shared" si="3"/>
        <v>0</v>
      </c>
      <c r="I12" s="4"/>
      <c r="J12" s="4"/>
      <c r="K12" s="4">
        <f t="shared" si="4"/>
        <v>0</v>
      </c>
      <c r="L12" s="4"/>
      <c r="M12" s="4"/>
      <c r="N12" s="4">
        <f t="shared" si="5"/>
        <v>0</v>
      </c>
      <c r="O12" s="8"/>
      <c r="P12" s="3"/>
      <c r="Q12" s="4">
        <f t="shared" si="6"/>
        <v>0</v>
      </c>
      <c r="R12" s="3"/>
      <c r="S12" s="3"/>
      <c r="T12" s="4">
        <f t="shared" si="7"/>
        <v>0</v>
      </c>
      <c r="U12" s="3"/>
      <c r="V12" s="3"/>
      <c r="W12" s="4">
        <f t="shared" si="8"/>
        <v>0</v>
      </c>
      <c r="X12" s="3"/>
      <c r="Y12" s="3"/>
      <c r="Z12" s="4">
        <f t="shared" si="9"/>
        <v>0</v>
      </c>
      <c r="AA12" s="3"/>
      <c r="AB12" s="3"/>
      <c r="AC12" s="4">
        <f t="shared" si="10"/>
        <v>0</v>
      </c>
      <c r="AD12" s="3"/>
      <c r="AE12" s="4"/>
      <c r="AF12" s="4">
        <f t="shared" si="11"/>
        <v>0</v>
      </c>
      <c r="AG12" s="3"/>
      <c r="AH12" s="3"/>
      <c r="AI12" s="4">
        <f t="shared" si="12"/>
        <v>0</v>
      </c>
      <c r="AJ12" s="3"/>
      <c r="AK12" s="3"/>
      <c r="AL12" s="4">
        <f t="shared" si="13"/>
        <v>0</v>
      </c>
      <c r="AM12" s="4">
        <f t="shared" si="14"/>
        <v>0</v>
      </c>
      <c r="AN12" s="4">
        <f t="shared" si="0"/>
        <v>0</v>
      </c>
      <c r="AO12" s="4">
        <f t="shared" si="1"/>
        <v>0</v>
      </c>
    </row>
    <row r="13" spans="1:41" ht="20.100000000000001" customHeight="1">
      <c r="A13" s="3"/>
      <c r="B13" s="3"/>
      <c r="C13" s="4"/>
      <c r="D13" s="4"/>
      <c r="E13" s="4">
        <f t="shared" si="2"/>
        <v>0</v>
      </c>
      <c r="F13" s="4"/>
      <c r="G13" s="4"/>
      <c r="H13" s="4">
        <f t="shared" si="3"/>
        <v>0</v>
      </c>
      <c r="I13" s="4"/>
      <c r="J13" s="4"/>
      <c r="K13" s="4">
        <f t="shared" si="4"/>
        <v>0</v>
      </c>
      <c r="L13" s="4"/>
      <c r="M13" s="4"/>
      <c r="N13" s="4">
        <f t="shared" si="5"/>
        <v>0</v>
      </c>
      <c r="O13" s="8"/>
      <c r="P13" s="3"/>
      <c r="Q13" s="4">
        <f t="shared" si="6"/>
        <v>0</v>
      </c>
      <c r="R13" s="3"/>
      <c r="S13" s="3"/>
      <c r="T13" s="4">
        <f t="shared" si="7"/>
        <v>0</v>
      </c>
      <c r="U13" s="3"/>
      <c r="V13" s="3"/>
      <c r="W13" s="4">
        <f t="shared" si="8"/>
        <v>0</v>
      </c>
      <c r="X13" s="3"/>
      <c r="Y13" s="3"/>
      <c r="Z13" s="4">
        <f t="shared" si="9"/>
        <v>0</v>
      </c>
      <c r="AA13" s="3"/>
      <c r="AB13" s="4"/>
      <c r="AC13" s="4">
        <f t="shared" si="10"/>
        <v>0</v>
      </c>
      <c r="AD13" s="3"/>
      <c r="AE13" s="3"/>
      <c r="AF13" s="4">
        <f t="shared" si="11"/>
        <v>0</v>
      </c>
      <c r="AG13" s="3"/>
      <c r="AH13" s="3"/>
      <c r="AI13" s="4">
        <f t="shared" si="12"/>
        <v>0</v>
      </c>
      <c r="AJ13" s="3"/>
      <c r="AK13" s="3"/>
      <c r="AL13" s="4">
        <f t="shared" si="13"/>
        <v>0</v>
      </c>
      <c r="AM13" s="4">
        <f t="shared" si="14"/>
        <v>0</v>
      </c>
      <c r="AN13" s="4">
        <f t="shared" si="0"/>
        <v>0</v>
      </c>
      <c r="AO13" s="4">
        <f t="shared" si="1"/>
        <v>0</v>
      </c>
    </row>
    <row r="14" spans="1:41" ht="20.100000000000001" customHeight="1">
      <c r="A14" s="3"/>
      <c r="B14" s="3"/>
      <c r="C14" s="4"/>
      <c r="D14" s="4"/>
      <c r="E14" s="4">
        <f t="shared" si="2"/>
        <v>0</v>
      </c>
      <c r="F14" s="4"/>
      <c r="G14" s="4"/>
      <c r="H14" s="4">
        <f t="shared" si="3"/>
        <v>0</v>
      </c>
      <c r="I14" s="4"/>
      <c r="J14" s="4"/>
      <c r="K14" s="4">
        <f t="shared" si="4"/>
        <v>0</v>
      </c>
      <c r="L14" s="4"/>
      <c r="M14" s="4"/>
      <c r="N14" s="4">
        <f t="shared" si="5"/>
        <v>0</v>
      </c>
      <c r="O14" s="4"/>
      <c r="P14" s="3"/>
      <c r="Q14" s="4">
        <f t="shared" si="6"/>
        <v>0</v>
      </c>
      <c r="R14" s="3"/>
      <c r="S14" s="3"/>
      <c r="T14" s="4">
        <f t="shared" si="7"/>
        <v>0</v>
      </c>
      <c r="U14" s="3"/>
      <c r="V14" s="3"/>
      <c r="W14" s="4">
        <f t="shared" si="8"/>
        <v>0</v>
      </c>
      <c r="X14" s="3"/>
      <c r="Y14" s="3"/>
      <c r="Z14" s="4">
        <f t="shared" si="9"/>
        <v>0</v>
      </c>
      <c r="AA14" s="3"/>
      <c r="AB14" s="3"/>
      <c r="AC14" s="4">
        <f t="shared" si="10"/>
        <v>0</v>
      </c>
      <c r="AD14" s="3"/>
      <c r="AE14" s="3"/>
      <c r="AF14" s="4">
        <f t="shared" si="11"/>
        <v>0</v>
      </c>
      <c r="AG14" s="3"/>
      <c r="AH14" s="3"/>
      <c r="AI14" s="4">
        <f t="shared" si="12"/>
        <v>0</v>
      </c>
      <c r="AJ14" s="3"/>
      <c r="AK14" s="3"/>
      <c r="AL14" s="4">
        <f t="shared" si="13"/>
        <v>0</v>
      </c>
      <c r="AM14" s="4">
        <f t="shared" si="14"/>
        <v>0</v>
      </c>
      <c r="AN14" s="4">
        <f t="shared" si="0"/>
        <v>0</v>
      </c>
      <c r="AO14" s="4">
        <f t="shared" si="1"/>
        <v>0</v>
      </c>
    </row>
    <row r="15" spans="1:41" ht="20.100000000000001" customHeight="1">
      <c r="A15" s="3"/>
      <c r="B15" s="3"/>
      <c r="C15" s="4"/>
      <c r="D15" s="4"/>
      <c r="E15" s="4">
        <f t="shared" si="2"/>
        <v>0</v>
      </c>
      <c r="F15" s="4"/>
      <c r="G15" s="4"/>
      <c r="H15" s="4">
        <f t="shared" si="3"/>
        <v>0</v>
      </c>
      <c r="I15" s="4"/>
      <c r="J15" s="4"/>
      <c r="K15" s="4">
        <f t="shared" si="4"/>
        <v>0</v>
      </c>
      <c r="L15" s="4"/>
      <c r="M15" s="4"/>
      <c r="N15" s="4">
        <f t="shared" si="5"/>
        <v>0</v>
      </c>
      <c r="O15" s="4"/>
      <c r="P15" s="3"/>
      <c r="Q15" s="4">
        <f t="shared" si="6"/>
        <v>0</v>
      </c>
      <c r="R15" s="3"/>
      <c r="S15" s="3"/>
      <c r="T15" s="4">
        <f t="shared" si="7"/>
        <v>0</v>
      </c>
      <c r="U15" s="3"/>
      <c r="V15" s="3"/>
      <c r="W15" s="4">
        <f t="shared" si="8"/>
        <v>0</v>
      </c>
      <c r="X15" s="3"/>
      <c r="Y15" s="3"/>
      <c r="Z15" s="4">
        <f t="shared" si="9"/>
        <v>0</v>
      </c>
      <c r="AA15" s="3"/>
      <c r="AB15" s="3"/>
      <c r="AC15" s="4">
        <f t="shared" si="10"/>
        <v>0</v>
      </c>
      <c r="AD15" s="3"/>
      <c r="AE15" s="3"/>
      <c r="AF15" s="4">
        <f t="shared" si="11"/>
        <v>0</v>
      </c>
      <c r="AG15" s="3"/>
      <c r="AH15" s="3"/>
      <c r="AI15" s="4">
        <f t="shared" si="12"/>
        <v>0</v>
      </c>
      <c r="AJ15" s="3"/>
      <c r="AK15" s="3"/>
      <c r="AL15" s="4">
        <f t="shared" si="13"/>
        <v>0</v>
      </c>
      <c r="AM15" s="4">
        <f t="shared" si="14"/>
        <v>0</v>
      </c>
      <c r="AN15" s="4">
        <f t="shared" si="0"/>
        <v>0</v>
      </c>
      <c r="AO15" s="4">
        <f t="shared" si="1"/>
        <v>0</v>
      </c>
    </row>
    <row r="16" spans="1:41" ht="20.100000000000001" customHeight="1">
      <c r="A16" s="3"/>
      <c r="B16" s="3"/>
      <c r="C16" s="4"/>
      <c r="D16" s="4"/>
      <c r="E16" s="4">
        <f t="shared" si="2"/>
        <v>0</v>
      </c>
      <c r="F16" s="4"/>
      <c r="G16" s="4"/>
      <c r="H16" s="4">
        <f t="shared" si="3"/>
        <v>0</v>
      </c>
      <c r="I16" s="4"/>
      <c r="J16" s="4"/>
      <c r="K16" s="4">
        <f t="shared" si="4"/>
        <v>0</v>
      </c>
      <c r="L16" s="4"/>
      <c r="M16" s="4"/>
      <c r="N16" s="4">
        <f t="shared" si="5"/>
        <v>0</v>
      </c>
      <c r="O16" s="8"/>
      <c r="P16" s="3"/>
      <c r="Q16" s="4">
        <f t="shared" si="6"/>
        <v>0</v>
      </c>
      <c r="R16" s="3"/>
      <c r="S16" s="3"/>
      <c r="T16" s="4">
        <f t="shared" si="7"/>
        <v>0</v>
      </c>
      <c r="U16" s="3"/>
      <c r="V16" s="3"/>
      <c r="W16" s="4">
        <f t="shared" si="8"/>
        <v>0</v>
      </c>
      <c r="X16" s="3"/>
      <c r="Y16" s="3"/>
      <c r="Z16" s="4">
        <f t="shared" si="9"/>
        <v>0</v>
      </c>
      <c r="AA16" s="3"/>
      <c r="AB16" s="4"/>
      <c r="AC16" s="4">
        <f t="shared" si="10"/>
        <v>0</v>
      </c>
      <c r="AD16" s="3"/>
      <c r="AE16" s="3"/>
      <c r="AF16" s="4">
        <f t="shared" si="11"/>
        <v>0</v>
      </c>
      <c r="AG16" s="3"/>
      <c r="AH16" s="3"/>
      <c r="AI16" s="4">
        <f t="shared" si="12"/>
        <v>0</v>
      </c>
      <c r="AJ16" s="3"/>
      <c r="AK16" s="3"/>
      <c r="AL16" s="4">
        <f t="shared" si="13"/>
        <v>0</v>
      </c>
      <c r="AM16" s="4">
        <f t="shared" si="14"/>
        <v>0</v>
      </c>
      <c r="AN16" s="4">
        <f t="shared" si="0"/>
        <v>0</v>
      </c>
      <c r="AO16" s="4">
        <f t="shared" si="1"/>
        <v>0</v>
      </c>
    </row>
    <row r="17" spans="1:41" ht="20.100000000000001" customHeight="1">
      <c r="A17" s="3"/>
      <c r="B17" s="3"/>
      <c r="C17" s="4"/>
      <c r="D17" s="4"/>
      <c r="E17" s="4">
        <f t="shared" si="2"/>
        <v>0</v>
      </c>
      <c r="F17" s="4"/>
      <c r="G17" s="4"/>
      <c r="H17" s="4">
        <f t="shared" si="3"/>
        <v>0</v>
      </c>
      <c r="I17" s="4"/>
      <c r="J17" s="4"/>
      <c r="K17" s="4">
        <f t="shared" si="4"/>
        <v>0</v>
      </c>
      <c r="L17" s="4"/>
      <c r="M17" s="4"/>
      <c r="N17" s="4">
        <f t="shared" si="5"/>
        <v>0</v>
      </c>
      <c r="O17" s="8"/>
      <c r="P17" s="3"/>
      <c r="Q17" s="4">
        <f t="shared" si="6"/>
        <v>0</v>
      </c>
      <c r="R17" s="3"/>
      <c r="S17" s="3"/>
      <c r="T17" s="4">
        <f t="shared" si="7"/>
        <v>0</v>
      </c>
      <c r="U17" s="3"/>
      <c r="V17" s="3"/>
      <c r="W17" s="4">
        <f t="shared" si="8"/>
        <v>0</v>
      </c>
      <c r="X17" s="3"/>
      <c r="Y17" s="3"/>
      <c r="Z17" s="4">
        <f t="shared" si="9"/>
        <v>0</v>
      </c>
      <c r="AA17" s="3"/>
      <c r="AB17" s="4"/>
      <c r="AC17" s="4">
        <f t="shared" si="10"/>
        <v>0</v>
      </c>
      <c r="AD17" s="3"/>
      <c r="AE17" s="3"/>
      <c r="AF17" s="4">
        <f t="shared" si="11"/>
        <v>0</v>
      </c>
      <c r="AG17" s="3"/>
      <c r="AH17" s="3"/>
      <c r="AI17" s="4">
        <f t="shared" si="12"/>
        <v>0</v>
      </c>
      <c r="AJ17" s="3"/>
      <c r="AK17" s="3"/>
      <c r="AL17" s="4">
        <f t="shared" si="13"/>
        <v>0</v>
      </c>
      <c r="AM17" s="4">
        <f t="shared" si="14"/>
        <v>0</v>
      </c>
      <c r="AN17" s="4">
        <f t="shared" si="0"/>
        <v>0</v>
      </c>
      <c r="AO17" s="4">
        <f t="shared" si="1"/>
        <v>0</v>
      </c>
    </row>
    <row r="18" spans="1:41" ht="20.100000000000001" customHeight="1">
      <c r="A18" s="3"/>
      <c r="B18" s="3"/>
      <c r="C18" s="4"/>
      <c r="D18" s="4"/>
      <c r="E18" s="4">
        <f t="shared" si="2"/>
        <v>0</v>
      </c>
      <c r="F18" s="4"/>
      <c r="G18" s="4"/>
      <c r="H18" s="4">
        <f t="shared" si="3"/>
        <v>0</v>
      </c>
      <c r="I18" s="4"/>
      <c r="J18" s="4"/>
      <c r="K18" s="4">
        <f t="shared" si="4"/>
        <v>0</v>
      </c>
      <c r="L18" s="4"/>
      <c r="M18" s="4"/>
      <c r="N18" s="4">
        <f t="shared" si="5"/>
        <v>0</v>
      </c>
      <c r="O18" s="4"/>
      <c r="P18" s="3"/>
      <c r="Q18" s="4">
        <f t="shared" si="6"/>
        <v>0</v>
      </c>
      <c r="R18" s="3"/>
      <c r="S18" s="3"/>
      <c r="T18" s="4">
        <f t="shared" si="7"/>
        <v>0</v>
      </c>
      <c r="U18" s="3"/>
      <c r="V18" s="3"/>
      <c r="W18" s="4">
        <f t="shared" si="8"/>
        <v>0</v>
      </c>
      <c r="X18" s="3"/>
      <c r="Y18" s="3"/>
      <c r="Z18" s="4">
        <f t="shared" si="9"/>
        <v>0</v>
      </c>
      <c r="AA18" s="3"/>
      <c r="AB18" s="4"/>
      <c r="AC18" s="4">
        <f t="shared" si="10"/>
        <v>0</v>
      </c>
      <c r="AD18" s="3"/>
      <c r="AE18" s="3"/>
      <c r="AF18" s="4">
        <f t="shared" si="11"/>
        <v>0</v>
      </c>
      <c r="AG18" s="3"/>
      <c r="AH18" s="3"/>
      <c r="AI18" s="4">
        <f t="shared" si="12"/>
        <v>0</v>
      </c>
      <c r="AJ18" s="3"/>
      <c r="AK18" s="3"/>
      <c r="AL18" s="4">
        <f t="shared" si="13"/>
        <v>0</v>
      </c>
      <c r="AM18" s="4">
        <f t="shared" si="14"/>
        <v>0</v>
      </c>
      <c r="AN18" s="4">
        <f t="shared" si="0"/>
        <v>0</v>
      </c>
      <c r="AO18" s="4">
        <f t="shared" si="1"/>
        <v>0</v>
      </c>
    </row>
    <row r="19" spans="1:41" ht="20.100000000000001" customHeight="1">
      <c r="A19" s="3"/>
      <c r="B19" s="3"/>
      <c r="C19" s="4"/>
      <c r="D19" s="4"/>
      <c r="E19" s="4">
        <f t="shared" si="2"/>
        <v>0</v>
      </c>
      <c r="F19" s="4"/>
      <c r="G19" s="4"/>
      <c r="H19" s="4">
        <f t="shared" si="3"/>
        <v>0</v>
      </c>
      <c r="I19" s="4"/>
      <c r="J19" s="4"/>
      <c r="K19" s="4">
        <f t="shared" si="4"/>
        <v>0</v>
      </c>
      <c r="L19" s="4"/>
      <c r="M19" s="4"/>
      <c r="N19" s="4">
        <f t="shared" si="5"/>
        <v>0</v>
      </c>
      <c r="O19" s="4"/>
      <c r="P19" s="3"/>
      <c r="Q19" s="4">
        <f t="shared" si="6"/>
        <v>0</v>
      </c>
      <c r="R19" s="3"/>
      <c r="S19" s="3"/>
      <c r="T19" s="4">
        <f t="shared" si="7"/>
        <v>0</v>
      </c>
      <c r="U19" s="3"/>
      <c r="V19" s="3"/>
      <c r="W19" s="4">
        <f t="shared" si="8"/>
        <v>0</v>
      </c>
      <c r="X19" s="3"/>
      <c r="Y19" s="3"/>
      <c r="Z19" s="4">
        <f t="shared" si="9"/>
        <v>0</v>
      </c>
      <c r="AA19" s="3"/>
      <c r="AB19" s="3"/>
      <c r="AC19" s="4">
        <f t="shared" si="10"/>
        <v>0</v>
      </c>
      <c r="AD19" s="3"/>
      <c r="AE19" s="3"/>
      <c r="AF19" s="4">
        <f t="shared" si="11"/>
        <v>0</v>
      </c>
      <c r="AG19" s="3"/>
      <c r="AH19" s="3"/>
      <c r="AI19" s="4">
        <f t="shared" si="12"/>
        <v>0</v>
      </c>
      <c r="AJ19" s="3"/>
      <c r="AK19" s="3"/>
      <c r="AL19" s="4">
        <f t="shared" si="13"/>
        <v>0</v>
      </c>
      <c r="AM19" s="4">
        <f t="shared" si="14"/>
        <v>0</v>
      </c>
      <c r="AN19" s="4">
        <f t="shared" si="0"/>
        <v>0</v>
      </c>
      <c r="AO19" s="4">
        <f t="shared" si="1"/>
        <v>0</v>
      </c>
    </row>
    <row r="20" spans="1:41" ht="20.100000000000001" customHeight="1">
      <c r="A20" s="3"/>
      <c r="B20" s="3"/>
      <c r="C20" s="4"/>
      <c r="D20" s="4"/>
      <c r="E20" s="4">
        <f t="shared" si="2"/>
        <v>0</v>
      </c>
      <c r="F20" s="4"/>
      <c r="G20" s="4"/>
      <c r="H20" s="4">
        <f t="shared" si="3"/>
        <v>0</v>
      </c>
      <c r="I20" s="4"/>
      <c r="J20" s="4"/>
      <c r="K20" s="4">
        <f t="shared" si="4"/>
        <v>0</v>
      </c>
      <c r="L20" s="4"/>
      <c r="M20" s="4"/>
      <c r="N20" s="4">
        <f t="shared" si="5"/>
        <v>0</v>
      </c>
      <c r="O20" s="4"/>
      <c r="P20" s="3"/>
      <c r="Q20" s="4">
        <f t="shared" si="6"/>
        <v>0</v>
      </c>
      <c r="R20" s="3"/>
      <c r="S20" s="3"/>
      <c r="T20" s="4">
        <f t="shared" si="7"/>
        <v>0</v>
      </c>
      <c r="U20" s="3"/>
      <c r="V20" s="3"/>
      <c r="W20" s="4">
        <f t="shared" si="8"/>
        <v>0</v>
      </c>
      <c r="X20" s="3"/>
      <c r="Y20" s="3"/>
      <c r="Z20" s="4">
        <f t="shared" si="9"/>
        <v>0</v>
      </c>
      <c r="AA20" s="3"/>
      <c r="AB20" s="3"/>
      <c r="AC20" s="4">
        <f t="shared" si="10"/>
        <v>0</v>
      </c>
      <c r="AD20" s="3"/>
      <c r="AE20" s="3"/>
      <c r="AF20" s="4">
        <f t="shared" si="11"/>
        <v>0</v>
      </c>
      <c r="AG20" s="3"/>
      <c r="AH20" s="3"/>
      <c r="AI20" s="4">
        <f t="shared" si="12"/>
        <v>0</v>
      </c>
      <c r="AJ20" s="3"/>
      <c r="AK20" s="4"/>
      <c r="AL20" s="4">
        <f t="shared" si="13"/>
        <v>0</v>
      </c>
      <c r="AM20" s="4">
        <f t="shared" si="14"/>
        <v>0</v>
      </c>
      <c r="AN20" s="4">
        <f t="shared" si="0"/>
        <v>0</v>
      </c>
      <c r="AO20" s="4">
        <f t="shared" si="1"/>
        <v>0</v>
      </c>
    </row>
    <row r="21" spans="1:41" ht="20.100000000000001" customHeight="1">
      <c r="A21" s="3"/>
      <c r="B21" s="3"/>
      <c r="C21" s="4"/>
      <c r="D21" s="4"/>
      <c r="E21" s="4">
        <f t="shared" si="2"/>
        <v>0</v>
      </c>
      <c r="F21" s="4"/>
      <c r="G21" s="4"/>
      <c r="H21" s="4">
        <f t="shared" si="3"/>
        <v>0</v>
      </c>
      <c r="I21" s="4"/>
      <c r="J21" s="4"/>
      <c r="K21" s="4">
        <f t="shared" si="4"/>
        <v>0</v>
      </c>
      <c r="L21" s="4"/>
      <c r="M21" s="4"/>
      <c r="N21" s="4">
        <f t="shared" si="5"/>
        <v>0</v>
      </c>
      <c r="O21" s="4"/>
      <c r="P21" s="3"/>
      <c r="Q21" s="4">
        <f t="shared" si="6"/>
        <v>0</v>
      </c>
      <c r="R21" s="3"/>
      <c r="S21" s="3"/>
      <c r="T21" s="4">
        <f t="shared" si="7"/>
        <v>0</v>
      </c>
      <c r="U21" s="3"/>
      <c r="V21" s="3"/>
      <c r="W21" s="4">
        <f t="shared" si="8"/>
        <v>0</v>
      </c>
      <c r="X21" s="3"/>
      <c r="Y21" s="3"/>
      <c r="Z21" s="4">
        <f t="shared" si="9"/>
        <v>0</v>
      </c>
      <c r="AA21" s="3"/>
      <c r="AB21" s="4"/>
      <c r="AC21" s="4">
        <f t="shared" si="10"/>
        <v>0</v>
      </c>
      <c r="AD21" s="3"/>
      <c r="AE21" s="3"/>
      <c r="AF21" s="4">
        <f t="shared" si="11"/>
        <v>0</v>
      </c>
      <c r="AG21" s="3"/>
      <c r="AH21" s="3"/>
      <c r="AI21" s="4"/>
      <c r="AJ21" s="3"/>
      <c r="AK21" s="3"/>
      <c r="AL21" s="4">
        <f t="shared" si="13"/>
        <v>0</v>
      </c>
      <c r="AM21" s="4">
        <f t="shared" si="14"/>
        <v>0</v>
      </c>
      <c r="AN21" s="4">
        <f t="shared" si="0"/>
        <v>0</v>
      </c>
      <c r="AO21" s="4">
        <f t="shared" si="1"/>
        <v>0</v>
      </c>
    </row>
    <row r="22" spans="1:41" ht="20.100000000000001" customHeight="1">
      <c r="A22" s="3"/>
      <c r="B22" s="3"/>
      <c r="C22" s="4"/>
      <c r="D22" s="4"/>
      <c r="E22" s="4">
        <f t="shared" si="2"/>
        <v>0</v>
      </c>
      <c r="F22" s="4"/>
      <c r="G22" s="4"/>
      <c r="H22" s="4">
        <f t="shared" si="3"/>
        <v>0</v>
      </c>
      <c r="I22" s="4"/>
      <c r="J22" s="4"/>
      <c r="K22" s="4">
        <f t="shared" si="4"/>
        <v>0</v>
      </c>
      <c r="L22" s="4"/>
      <c r="M22" s="4"/>
      <c r="N22" s="4">
        <f t="shared" si="5"/>
        <v>0</v>
      </c>
      <c r="O22" s="4"/>
      <c r="P22" s="3"/>
      <c r="Q22" s="4">
        <f t="shared" si="6"/>
        <v>0</v>
      </c>
      <c r="R22" s="3"/>
      <c r="S22" s="3"/>
      <c r="T22" s="4">
        <f t="shared" si="7"/>
        <v>0</v>
      </c>
      <c r="U22" s="3"/>
      <c r="V22" s="3"/>
      <c r="W22" s="4">
        <f t="shared" si="8"/>
        <v>0</v>
      </c>
      <c r="X22" s="3"/>
      <c r="Y22" s="3"/>
      <c r="Z22" s="4">
        <f t="shared" si="9"/>
        <v>0</v>
      </c>
      <c r="AA22" s="3"/>
      <c r="AB22" s="3"/>
      <c r="AC22" s="4">
        <f t="shared" si="10"/>
        <v>0</v>
      </c>
      <c r="AD22" s="3"/>
      <c r="AE22" s="3"/>
      <c r="AF22" s="4">
        <f t="shared" si="11"/>
        <v>0</v>
      </c>
      <c r="AG22" s="3"/>
      <c r="AH22" s="3"/>
      <c r="AI22" s="4">
        <f>AG22+AH22</f>
        <v>0</v>
      </c>
      <c r="AJ22" s="3"/>
      <c r="AK22" s="3"/>
      <c r="AL22" s="4">
        <f t="shared" si="13"/>
        <v>0</v>
      </c>
      <c r="AM22" s="4">
        <f t="shared" si="14"/>
        <v>0</v>
      </c>
      <c r="AN22" s="4">
        <f t="shared" si="0"/>
        <v>0</v>
      </c>
      <c r="AO22" s="4">
        <f t="shared" si="1"/>
        <v>0</v>
      </c>
    </row>
    <row r="23" spans="1:41" ht="44.25" customHeight="1">
      <c r="A23" s="6"/>
      <c r="B23" s="5"/>
      <c r="C23" s="4"/>
      <c r="D23" s="4"/>
      <c r="E23" s="4">
        <f t="shared" si="2"/>
        <v>0</v>
      </c>
      <c r="F23" s="4"/>
      <c r="G23" s="4"/>
      <c r="H23" s="4">
        <f t="shared" si="3"/>
        <v>0</v>
      </c>
      <c r="I23" s="4"/>
      <c r="J23" s="4"/>
      <c r="K23" s="4">
        <f t="shared" si="4"/>
        <v>0</v>
      </c>
      <c r="L23" s="4"/>
      <c r="M23" s="4"/>
      <c r="N23" s="4">
        <f t="shared" si="5"/>
        <v>0</v>
      </c>
      <c r="O23" s="4"/>
      <c r="P23" s="3"/>
      <c r="Q23" s="4">
        <f t="shared" si="6"/>
        <v>0</v>
      </c>
      <c r="R23" s="3"/>
      <c r="S23" s="3"/>
      <c r="T23" s="4">
        <f t="shared" si="7"/>
        <v>0</v>
      </c>
      <c r="U23" s="3"/>
      <c r="V23" s="3"/>
      <c r="W23" s="4">
        <f t="shared" si="8"/>
        <v>0</v>
      </c>
      <c r="X23" s="3"/>
      <c r="Y23" s="3"/>
      <c r="Z23" s="4">
        <f t="shared" si="9"/>
        <v>0</v>
      </c>
      <c r="AA23" s="3"/>
      <c r="AB23" s="4"/>
      <c r="AC23" s="4">
        <f t="shared" si="10"/>
        <v>0</v>
      </c>
      <c r="AD23" s="3"/>
      <c r="AE23" s="3"/>
      <c r="AF23" s="4">
        <f t="shared" si="11"/>
        <v>0</v>
      </c>
      <c r="AG23" s="3"/>
      <c r="AH23" s="3"/>
      <c r="AI23" s="4">
        <f t="shared" si="12"/>
        <v>0</v>
      </c>
      <c r="AJ23" s="3"/>
      <c r="AK23" s="3"/>
      <c r="AL23" s="4">
        <f t="shared" si="13"/>
        <v>0</v>
      </c>
      <c r="AM23" s="4">
        <f t="shared" si="14"/>
        <v>0</v>
      </c>
      <c r="AN23" s="4">
        <f t="shared" si="0"/>
        <v>0</v>
      </c>
      <c r="AO23" s="4">
        <f t="shared" si="1"/>
        <v>0</v>
      </c>
    </row>
    <row r="24" spans="1:41" ht="20.100000000000001" customHeight="1">
      <c r="A24" s="3"/>
      <c r="B24" s="3"/>
      <c r="C24" s="4"/>
      <c r="D24" s="4"/>
      <c r="E24" s="4">
        <f t="shared" si="2"/>
        <v>0</v>
      </c>
      <c r="F24" s="4"/>
      <c r="G24" s="4"/>
      <c r="H24" s="4">
        <f t="shared" si="3"/>
        <v>0</v>
      </c>
      <c r="I24" s="4"/>
      <c r="J24" s="4"/>
      <c r="K24" s="4">
        <f t="shared" si="4"/>
        <v>0</v>
      </c>
      <c r="L24" s="4"/>
      <c r="M24" s="4"/>
      <c r="N24" s="4">
        <f t="shared" si="5"/>
        <v>0</v>
      </c>
      <c r="O24" s="4"/>
      <c r="P24" s="3"/>
      <c r="Q24" s="4">
        <f t="shared" si="6"/>
        <v>0</v>
      </c>
      <c r="R24" s="3"/>
      <c r="S24" s="3"/>
      <c r="T24" s="4">
        <f t="shared" si="7"/>
        <v>0</v>
      </c>
      <c r="U24" s="3"/>
      <c r="V24" s="3"/>
      <c r="W24" s="4">
        <f t="shared" si="8"/>
        <v>0</v>
      </c>
      <c r="X24" s="3"/>
      <c r="Y24" s="3"/>
      <c r="Z24" s="4">
        <f t="shared" si="9"/>
        <v>0</v>
      </c>
      <c r="AA24" s="3"/>
      <c r="AB24" s="4"/>
      <c r="AC24" s="4">
        <f t="shared" si="10"/>
        <v>0</v>
      </c>
      <c r="AD24" s="3"/>
      <c r="AE24" s="3"/>
      <c r="AF24" s="4">
        <f t="shared" si="11"/>
        <v>0</v>
      </c>
      <c r="AG24" s="3"/>
      <c r="AH24" s="3"/>
      <c r="AI24" s="4">
        <f t="shared" si="12"/>
        <v>0</v>
      </c>
      <c r="AJ24" s="3"/>
      <c r="AK24" s="3"/>
      <c r="AL24" s="4">
        <f t="shared" si="13"/>
        <v>0</v>
      </c>
      <c r="AM24" s="4">
        <f t="shared" si="14"/>
        <v>0</v>
      </c>
      <c r="AN24" s="4">
        <f t="shared" si="0"/>
        <v>0</v>
      </c>
      <c r="AO24" s="4">
        <f t="shared" si="1"/>
        <v>0</v>
      </c>
    </row>
    <row r="25" spans="1:41" ht="34.5" customHeight="1">
      <c r="A25" s="6"/>
      <c r="B25" s="5"/>
      <c r="C25" s="4"/>
      <c r="D25" s="4"/>
      <c r="E25" s="4">
        <f t="shared" si="2"/>
        <v>0</v>
      </c>
      <c r="F25" s="4"/>
      <c r="G25" s="4"/>
      <c r="H25" s="4">
        <f t="shared" si="3"/>
        <v>0</v>
      </c>
      <c r="I25" s="4"/>
      <c r="J25" s="4"/>
      <c r="K25" s="4">
        <f t="shared" si="4"/>
        <v>0</v>
      </c>
      <c r="L25" s="4"/>
      <c r="M25" s="4"/>
      <c r="N25" s="4">
        <f t="shared" si="5"/>
        <v>0</v>
      </c>
      <c r="O25" s="4"/>
      <c r="P25" s="3"/>
      <c r="Q25" s="4">
        <f t="shared" si="6"/>
        <v>0</v>
      </c>
      <c r="R25" s="3"/>
      <c r="S25" s="3"/>
      <c r="T25" s="4">
        <f t="shared" si="7"/>
        <v>0</v>
      </c>
      <c r="U25" s="3"/>
      <c r="V25" s="3"/>
      <c r="W25" s="4">
        <f t="shared" si="8"/>
        <v>0</v>
      </c>
      <c r="X25" s="3"/>
      <c r="Y25" s="3"/>
      <c r="Z25" s="4">
        <f t="shared" si="9"/>
        <v>0</v>
      </c>
      <c r="AA25" s="3"/>
      <c r="AB25" s="4"/>
      <c r="AC25" s="4">
        <f t="shared" si="10"/>
        <v>0</v>
      </c>
      <c r="AD25" s="3"/>
      <c r="AE25" s="3"/>
      <c r="AF25" s="4">
        <f t="shared" si="11"/>
        <v>0</v>
      </c>
      <c r="AG25" s="3"/>
      <c r="AH25" s="3"/>
      <c r="AI25" s="4">
        <f t="shared" si="12"/>
        <v>0</v>
      </c>
      <c r="AJ25" s="3"/>
      <c r="AK25" s="3"/>
      <c r="AL25" s="4">
        <f t="shared" si="13"/>
        <v>0</v>
      </c>
      <c r="AM25" s="4">
        <f t="shared" si="14"/>
        <v>0</v>
      </c>
      <c r="AN25" s="4">
        <f t="shared" si="0"/>
        <v>0</v>
      </c>
      <c r="AO25" s="4">
        <f t="shared" si="1"/>
        <v>0</v>
      </c>
    </row>
    <row r="26" spans="1:41" ht="20.100000000000001" customHeight="1">
      <c r="A26" s="3"/>
      <c r="B26" s="3"/>
      <c r="C26" s="4"/>
      <c r="D26" s="4"/>
      <c r="E26" s="4">
        <f t="shared" si="2"/>
        <v>0</v>
      </c>
      <c r="F26" s="4"/>
      <c r="G26" s="4"/>
      <c r="H26" s="4">
        <f t="shared" si="3"/>
        <v>0</v>
      </c>
      <c r="I26" s="4"/>
      <c r="J26" s="4"/>
      <c r="K26" s="4">
        <f t="shared" si="4"/>
        <v>0</v>
      </c>
      <c r="L26" s="4"/>
      <c r="M26" s="4"/>
      <c r="N26" s="4">
        <f t="shared" si="5"/>
        <v>0</v>
      </c>
      <c r="O26" s="8"/>
      <c r="P26" s="3"/>
      <c r="Q26" s="4">
        <f t="shared" si="6"/>
        <v>0</v>
      </c>
      <c r="R26" s="3"/>
      <c r="S26" s="3"/>
      <c r="T26" s="4">
        <f t="shared" si="7"/>
        <v>0</v>
      </c>
      <c r="U26" s="3"/>
      <c r="V26" s="3"/>
      <c r="W26" s="4">
        <f t="shared" si="8"/>
        <v>0</v>
      </c>
      <c r="X26" s="3"/>
      <c r="Y26" s="3"/>
      <c r="Z26" s="4">
        <f t="shared" si="9"/>
        <v>0</v>
      </c>
      <c r="AA26" s="3"/>
      <c r="AB26" s="4"/>
      <c r="AC26" s="4">
        <f t="shared" si="10"/>
        <v>0</v>
      </c>
      <c r="AD26" s="3"/>
      <c r="AE26" s="3"/>
      <c r="AF26" s="4">
        <f t="shared" si="11"/>
        <v>0</v>
      </c>
      <c r="AG26" s="3"/>
      <c r="AH26" s="3"/>
      <c r="AI26" s="4">
        <f t="shared" si="12"/>
        <v>0</v>
      </c>
      <c r="AJ26" s="3"/>
      <c r="AK26" s="3"/>
      <c r="AL26" s="4">
        <f t="shared" si="13"/>
        <v>0</v>
      </c>
      <c r="AM26" s="4">
        <f t="shared" si="14"/>
        <v>0</v>
      </c>
      <c r="AN26" s="4">
        <f t="shared" si="0"/>
        <v>0</v>
      </c>
      <c r="AO26" s="4">
        <f t="shared" si="1"/>
        <v>0</v>
      </c>
    </row>
    <row r="27" spans="1:41" ht="20.100000000000001" customHeight="1">
      <c r="A27" s="3"/>
      <c r="B27" s="3"/>
      <c r="C27" s="4"/>
      <c r="D27" s="4"/>
      <c r="E27" s="4">
        <f t="shared" si="2"/>
        <v>0</v>
      </c>
      <c r="F27" s="4"/>
      <c r="G27" s="4"/>
      <c r="H27" s="4">
        <f t="shared" si="3"/>
        <v>0</v>
      </c>
      <c r="I27" s="4"/>
      <c r="J27" s="4"/>
      <c r="K27" s="4">
        <f t="shared" si="4"/>
        <v>0</v>
      </c>
      <c r="L27" s="4"/>
      <c r="M27" s="4"/>
      <c r="N27" s="4">
        <f t="shared" si="5"/>
        <v>0</v>
      </c>
      <c r="O27" s="8"/>
      <c r="P27" s="3"/>
      <c r="Q27" s="4">
        <f t="shared" si="6"/>
        <v>0</v>
      </c>
      <c r="R27" s="3"/>
      <c r="S27" s="3"/>
      <c r="T27" s="4">
        <f t="shared" si="7"/>
        <v>0</v>
      </c>
      <c r="U27" s="3"/>
      <c r="V27" s="3"/>
      <c r="W27" s="4">
        <f t="shared" si="8"/>
        <v>0</v>
      </c>
      <c r="X27" s="3"/>
      <c r="Y27" s="3"/>
      <c r="Z27" s="4">
        <f t="shared" si="9"/>
        <v>0</v>
      </c>
      <c r="AA27" s="3"/>
      <c r="AB27" s="4"/>
      <c r="AC27" s="4">
        <f t="shared" si="10"/>
        <v>0</v>
      </c>
      <c r="AD27" s="3"/>
      <c r="AE27" s="3"/>
      <c r="AF27" s="4">
        <f t="shared" si="11"/>
        <v>0</v>
      </c>
      <c r="AG27" s="3"/>
      <c r="AH27" s="3"/>
      <c r="AI27" s="4">
        <f t="shared" si="12"/>
        <v>0</v>
      </c>
      <c r="AJ27" s="3"/>
      <c r="AK27" s="3"/>
      <c r="AL27" s="4">
        <f t="shared" si="13"/>
        <v>0</v>
      </c>
      <c r="AM27" s="4">
        <f t="shared" si="14"/>
        <v>0</v>
      </c>
      <c r="AN27" s="4">
        <f t="shared" si="0"/>
        <v>0</v>
      </c>
      <c r="AO27" s="4">
        <f t="shared" si="1"/>
        <v>0</v>
      </c>
    </row>
    <row r="28" spans="1:41" ht="33.75" customHeight="1">
      <c r="A28" s="7"/>
      <c r="B28" s="7" t="s">
        <v>30</v>
      </c>
      <c r="C28" s="8">
        <f>SUM(C10:C26)</f>
        <v>0</v>
      </c>
      <c r="D28" s="8">
        <f t="shared" ref="D28:AO28" si="15">SUM(D10:D26)</f>
        <v>0</v>
      </c>
      <c r="E28" s="8">
        <f t="shared" si="15"/>
        <v>0</v>
      </c>
      <c r="F28" s="8">
        <f t="shared" si="15"/>
        <v>0</v>
      </c>
      <c r="G28" s="8">
        <f t="shared" si="15"/>
        <v>0</v>
      </c>
      <c r="H28" s="8">
        <f t="shared" si="15"/>
        <v>0</v>
      </c>
      <c r="I28" s="8">
        <f t="shared" si="15"/>
        <v>0</v>
      </c>
      <c r="J28" s="8">
        <f t="shared" si="15"/>
        <v>0</v>
      </c>
      <c r="K28" s="8">
        <f>J28+I28</f>
        <v>0</v>
      </c>
      <c r="L28" s="8">
        <f t="shared" si="15"/>
        <v>0</v>
      </c>
      <c r="M28" s="8">
        <f t="shared" si="15"/>
        <v>0</v>
      </c>
      <c r="N28" s="8">
        <f>M28+L28</f>
        <v>0</v>
      </c>
      <c r="O28" s="8">
        <f t="shared" si="15"/>
        <v>0</v>
      </c>
      <c r="P28" s="8">
        <f t="shared" si="15"/>
        <v>0</v>
      </c>
      <c r="Q28" s="8">
        <f>P28+O28</f>
        <v>0</v>
      </c>
      <c r="R28" s="8">
        <f t="shared" si="15"/>
        <v>0</v>
      </c>
      <c r="S28" s="8">
        <f t="shared" si="15"/>
        <v>0</v>
      </c>
      <c r="T28" s="8">
        <f>S28+R28</f>
        <v>0</v>
      </c>
      <c r="U28" s="8">
        <f t="shared" si="15"/>
        <v>0</v>
      </c>
      <c r="V28" s="8">
        <f t="shared" si="15"/>
        <v>0</v>
      </c>
      <c r="W28" s="8">
        <f>V28+U28</f>
        <v>0</v>
      </c>
      <c r="X28" s="8">
        <f t="shared" si="15"/>
        <v>0</v>
      </c>
      <c r="Y28" s="8">
        <f t="shared" si="15"/>
        <v>0</v>
      </c>
      <c r="Z28" s="8">
        <f t="shared" si="9"/>
        <v>0</v>
      </c>
      <c r="AA28" s="8">
        <f t="shared" si="15"/>
        <v>0</v>
      </c>
      <c r="AB28" s="8">
        <f t="shared" si="15"/>
        <v>0</v>
      </c>
      <c r="AC28" s="8">
        <f>AB28+AA28</f>
        <v>0</v>
      </c>
      <c r="AD28" s="8">
        <f t="shared" si="15"/>
        <v>0</v>
      </c>
      <c r="AE28" s="8">
        <f t="shared" si="15"/>
        <v>0</v>
      </c>
      <c r="AF28" s="8">
        <f>AE28+AD28</f>
        <v>0</v>
      </c>
      <c r="AG28" s="8">
        <f t="shared" si="15"/>
        <v>0</v>
      </c>
      <c r="AH28" s="8">
        <f t="shared" si="15"/>
        <v>0</v>
      </c>
      <c r="AI28" s="8">
        <f>AH28+AG28</f>
        <v>0</v>
      </c>
      <c r="AJ28" s="8">
        <f t="shared" si="15"/>
        <v>0</v>
      </c>
      <c r="AK28" s="8">
        <f t="shared" si="15"/>
        <v>0</v>
      </c>
      <c r="AL28" s="8">
        <f>AK28+AJ28</f>
        <v>0</v>
      </c>
      <c r="AM28" s="8">
        <f t="shared" si="15"/>
        <v>0</v>
      </c>
      <c r="AN28" s="8">
        <f t="shared" si="15"/>
        <v>0</v>
      </c>
      <c r="AO28" s="8">
        <f t="shared" si="15"/>
        <v>0</v>
      </c>
    </row>
    <row r="31" spans="1:41" ht="17.399999999999999">
      <c r="A31" s="12" t="s">
        <v>38</v>
      </c>
      <c r="B31" s="12"/>
      <c r="C31" s="2"/>
      <c r="D31" s="2"/>
      <c r="E31" s="2"/>
      <c r="F31" s="2"/>
      <c r="G31" s="2"/>
      <c r="H31" s="2"/>
      <c r="I31" s="2"/>
    </row>
    <row r="33" spans="1:1">
      <c r="A33" t="s">
        <v>39</v>
      </c>
    </row>
  </sheetData>
  <mergeCells count="17">
    <mergeCell ref="AM8:AO8"/>
    <mergeCell ref="U8:W8"/>
    <mergeCell ref="X8:Z8"/>
    <mergeCell ref="AA8:AC8"/>
    <mergeCell ref="AD8:AF8"/>
    <mergeCell ref="AG8:AI8"/>
    <mergeCell ref="AJ8:AL8"/>
    <mergeCell ref="A5:O5"/>
    <mergeCell ref="A6:O6"/>
    <mergeCell ref="A7:T7"/>
    <mergeCell ref="A8:B8"/>
    <mergeCell ref="C8:E8"/>
    <mergeCell ref="F8:H8"/>
    <mergeCell ref="I8:K8"/>
    <mergeCell ref="L8:N8"/>
    <mergeCell ref="O8:Q8"/>
    <mergeCell ref="R8:T8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R35"/>
  <sheetViews>
    <sheetView tabSelected="1" topLeftCell="A4" zoomScaleSheetLayoutView="90" workbookViewId="0">
      <pane xSplit="2" ySplit="4" topLeftCell="AH19" activePane="bottomRight" state="frozen"/>
      <selection activeCell="A4" sqref="A4"/>
      <selection pane="topRight" activeCell="C4" sqref="C4"/>
      <selection pane="bottomLeft" activeCell="A9" sqref="A9"/>
      <selection pane="bottomRight" activeCell="AO9" sqref="AO9:AO29"/>
    </sheetView>
  </sheetViews>
  <sheetFormatPr defaultRowHeight="14.4"/>
  <cols>
    <col min="1" max="1" width="5.88671875" customWidth="1"/>
    <col min="2" max="2" width="42.88671875" customWidth="1"/>
    <col min="3" max="3" width="12.109375" customWidth="1"/>
    <col min="4" max="4" width="13.33203125" customWidth="1"/>
    <col min="5" max="5" width="13" customWidth="1"/>
    <col min="6" max="6" width="11.6640625" customWidth="1"/>
    <col min="7" max="7" width="14.33203125" customWidth="1"/>
    <col min="8" max="8" width="16.88671875" customWidth="1"/>
    <col min="9" max="9" width="13.33203125" customWidth="1"/>
    <col min="10" max="10" width="13.77734375" customWidth="1"/>
    <col min="11" max="11" width="14.44140625" customWidth="1"/>
    <col min="12" max="12" width="12.44140625" customWidth="1"/>
    <col min="13" max="13" width="14.88671875" customWidth="1"/>
    <col min="14" max="14" width="13.109375" customWidth="1"/>
    <col min="15" max="15" width="13.5546875" customWidth="1"/>
    <col min="16" max="16" width="13.33203125" customWidth="1"/>
    <col min="17" max="17" width="13" customWidth="1"/>
    <col min="18" max="18" width="12.5546875" customWidth="1"/>
    <col min="19" max="19" width="14.88671875" customWidth="1"/>
    <col min="20" max="20" width="13" customWidth="1"/>
    <col min="21" max="21" width="12.33203125" customWidth="1"/>
    <col min="22" max="22" width="13.6640625" customWidth="1"/>
    <col min="23" max="23" width="12.6640625" customWidth="1"/>
    <col min="24" max="24" width="12" customWidth="1"/>
    <col min="25" max="25" width="13" customWidth="1"/>
    <col min="26" max="26" width="14.33203125" customWidth="1"/>
    <col min="27" max="27" width="13" customWidth="1"/>
    <col min="28" max="28" width="12" customWidth="1"/>
    <col min="29" max="29" width="13" customWidth="1"/>
    <col min="30" max="30" width="12.6640625" customWidth="1"/>
    <col min="31" max="31" width="12.5546875" customWidth="1"/>
    <col min="32" max="32" width="14.44140625" customWidth="1"/>
    <col min="33" max="33" width="12.6640625" customWidth="1"/>
    <col min="34" max="34" width="14.44140625" customWidth="1"/>
    <col min="35" max="35" width="12.88671875" customWidth="1"/>
    <col min="36" max="36" width="11.88671875" customWidth="1"/>
    <col min="37" max="37" width="12.5546875" customWidth="1"/>
    <col min="38" max="39" width="14.5546875" customWidth="1"/>
    <col min="40" max="40" width="17" customWidth="1"/>
    <col min="41" max="41" width="17.109375" customWidth="1"/>
    <col min="42" max="42" width="18" customWidth="1"/>
    <col min="43" max="43" width="11.5546875" bestFit="1" customWidth="1"/>
    <col min="44" max="44" width="15.33203125" customWidth="1"/>
  </cols>
  <sheetData>
    <row r="1" spans="1:44" ht="11.25" customHeight="1">
      <c r="L1" s="1"/>
      <c r="M1" s="1"/>
      <c r="N1" s="1"/>
      <c r="O1" s="1"/>
      <c r="R1" s="1" t="s">
        <v>34</v>
      </c>
      <c r="S1" s="1"/>
      <c r="T1" s="1"/>
    </row>
    <row r="2" spans="1:44" ht="9.75" customHeight="1">
      <c r="L2" s="1"/>
      <c r="M2" s="1"/>
      <c r="N2" s="1"/>
      <c r="O2" s="1"/>
      <c r="R2" s="1" t="s">
        <v>31</v>
      </c>
      <c r="S2" s="1"/>
      <c r="T2" s="1"/>
    </row>
    <row r="3" spans="1:44" ht="10.5" customHeight="1">
      <c r="L3" s="1"/>
      <c r="M3" s="1"/>
      <c r="N3" s="1"/>
      <c r="O3" s="1"/>
      <c r="R3" s="1" t="s">
        <v>32</v>
      </c>
      <c r="S3" s="1"/>
      <c r="T3" s="1"/>
    </row>
    <row r="4" spans="1:44" ht="11.25" customHeight="1">
      <c r="L4" s="1"/>
      <c r="M4" s="1"/>
      <c r="N4" s="1"/>
      <c r="O4" s="1"/>
      <c r="R4" s="1" t="s">
        <v>33</v>
      </c>
      <c r="S4" s="1"/>
      <c r="T4" s="1"/>
    </row>
    <row r="5" spans="1:44" ht="19.5" customHeight="1">
      <c r="A5" s="54" t="s">
        <v>67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4" ht="19.5" customHeight="1">
      <c r="A6" s="58" t="s">
        <v>42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</row>
    <row r="7" spans="1:44" ht="35.25" customHeight="1">
      <c r="A7" s="52"/>
      <c r="B7" s="53"/>
      <c r="C7" s="52" t="s">
        <v>17</v>
      </c>
      <c r="D7" s="55"/>
      <c r="E7" s="53"/>
      <c r="F7" s="52" t="s">
        <v>18</v>
      </c>
      <c r="G7" s="55"/>
      <c r="H7" s="53"/>
      <c r="I7" s="52" t="s">
        <v>19</v>
      </c>
      <c r="J7" s="55"/>
      <c r="K7" s="53"/>
      <c r="L7" s="52" t="s">
        <v>20</v>
      </c>
      <c r="M7" s="55"/>
      <c r="N7" s="53"/>
      <c r="O7" s="52" t="s">
        <v>21</v>
      </c>
      <c r="P7" s="55"/>
      <c r="Q7" s="53"/>
      <c r="R7" s="52" t="s">
        <v>22</v>
      </c>
      <c r="S7" s="55"/>
      <c r="T7" s="53"/>
      <c r="U7" s="59" t="s">
        <v>23</v>
      </c>
      <c r="V7" s="60"/>
      <c r="W7" s="61"/>
      <c r="X7" s="59" t="s">
        <v>24</v>
      </c>
      <c r="Y7" s="60"/>
      <c r="Z7" s="61"/>
      <c r="AA7" s="59" t="s">
        <v>25</v>
      </c>
      <c r="AB7" s="60"/>
      <c r="AC7" s="61"/>
      <c r="AD7" s="59" t="s">
        <v>26</v>
      </c>
      <c r="AE7" s="60"/>
      <c r="AF7" s="61"/>
      <c r="AG7" s="59" t="s">
        <v>27</v>
      </c>
      <c r="AH7" s="60"/>
      <c r="AI7" s="61"/>
      <c r="AJ7" s="59" t="s">
        <v>28</v>
      </c>
      <c r="AK7" s="60"/>
      <c r="AL7" s="61"/>
      <c r="AM7" s="59" t="s">
        <v>29</v>
      </c>
      <c r="AN7" s="60"/>
      <c r="AO7" s="61"/>
      <c r="AP7" s="37" t="s">
        <v>49</v>
      </c>
    </row>
    <row r="8" spans="1:44" s="22" customFormat="1" ht="24" customHeight="1">
      <c r="A8" s="10"/>
      <c r="B8" s="11"/>
      <c r="C8" s="9" t="s">
        <v>36</v>
      </c>
      <c r="D8" s="9" t="s">
        <v>43</v>
      </c>
      <c r="E8" s="9" t="s">
        <v>37</v>
      </c>
      <c r="F8" s="9" t="s">
        <v>36</v>
      </c>
      <c r="G8" s="9" t="s">
        <v>43</v>
      </c>
      <c r="H8" s="9" t="s">
        <v>37</v>
      </c>
      <c r="I8" s="9" t="s">
        <v>36</v>
      </c>
      <c r="J8" s="9" t="s">
        <v>43</v>
      </c>
      <c r="K8" s="9" t="s">
        <v>37</v>
      </c>
      <c r="L8" s="9" t="s">
        <v>36</v>
      </c>
      <c r="M8" s="9" t="s">
        <v>43</v>
      </c>
      <c r="N8" s="9" t="s">
        <v>37</v>
      </c>
      <c r="O8" s="9" t="s">
        <v>36</v>
      </c>
      <c r="P8" s="9" t="s">
        <v>43</v>
      </c>
      <c r="Q8" s="9" t="s">
        <v>37</v>
      </c>
      <c r="R8" s="9" t="s">
        <v>36</v>
      </c>
      <c r="S8" s="9" t="s">
        <v>43</v>
      </c>
      <c r="T8" s="9" t="s">
        <v>37</v>
      </c>
      <c r="U8" s="9" t="s">
        <v>36</v>
      </c>
      <c r="V8" s="9" t="s">
        <v>43</v>
      </c>
      <c r="W8" s="9" t="s">
        <v>37</v>
      </c>
      <c r="X8" s="9" t="s">
        <v>36</v>
      </c>
      <c r="Y8" s="9" t="s">
        <v>43</v>
      </c>
      <c r="Z8" s="9" t="s">
        <v>37</v>
      </c>
      <c r="AA8" s="9" t="s">
        <v>36</v>
      </c>
      <c r="AB8" s="9" t="s">
        <v>43</v>
      </c>
      <c r="AC8" s="9" t="s">
        <v>37</v>
      </c>
      <c r="AD8" s="9" t="s">
        <v>36</v>
      </c>
      <c r="AE8" s="9" t="s">
        <v>43</v>
      </c>
      <c r="AF8" s="9" t="s">
        <v>37</v>
      </c>
      <c r="AG8" s="9" t="s">
        <v>36</v>
      </c>
      <c r="AH8" s="9" t="s">
        <v>43</v>
      </c>
      <c r="AI8" s="9" t="s">
        <v>37</v>
      </c>
      <c r="AJ8" s="9" t="s">
        <v>36</v>
      </c>
      <c r="AK8" s="9" t="s">
        <v>43</v>
      </c>
      <c r="AL8" s="9" t="s">
        <v>37</v>
      </c>
      <c r="AM8" s="9" t="s">
        <v>36</v>
      </c>
      <c r="AN8" s="9" t="s">
        <v>43</v>
      </c>
      <c r="AO8" s="9" t="s">
        <v>37</v>
      </c>
      <c r="AP8" s="38"/>
    </row>
    <row r="9" spans="1:44" s="28" customFormat="1" ht="25.5" customHeight="1">
      <c r="A9" s="23">
        <v>2111</v>
      </c>
      <c r="B9" s="23" t="s">
        <v>0</v>
      </c>
      <c r="C9" s="24">
        <f>'27'!C9+'37'!C9+'38'!C9+'40'!C9+'42'!C9+'45'!C9+'48'!C9+'50'!C9+'55'!C9+'61'!C9+'76'!C9+'КЛ 77'!C9+'78'!C9+КТЛ!C9+'83'!C9+'3'!C10+'110'!C9+'116'!C9+'117'!C9+'1'!C10+'2'!C10</f>
        <v>0</v>
      </c>
      <c r="D9" s="24">
        <f>'27'!D9+'37'!D9+'38'!D9+'40'!D9+'42'!D9+'45'!D9+'48'!D9+'50'!D9+'55'!D9+'61'!D9+'76'!D9+'КЛ 77'!D9+'78'!D9+КТЛ!D9+'83'!D9+'3'!D10+'110'!D9+'116'!D9+'117'!D9+'1'!D10+'2'!D10</f>
        <v>3899966.8400000003</v>
      </c>
      <c r="E9" s="24">
        <f>D9+C9</f>
        <v>3899966.8400000003</v>
      </c>
      <c r="F9" s="24">
        <f>'27'!F9+'37'!F9+'38'!F9+'40'!F9+'42'!F9+'45'!F9+'48'!F9+'50'!F9+'55'!F9+'61'!F9+'76'!F9+'КЛ 77'!F9+'78'!F9+КТЛ!F9+'83'!F9+'3'!F10+'110'!F9+'116'!F9+'117'!F9+'1'!F10+'2'!F10</f>
        <v>0</v>
      </c>
      <c r="G9" s="24">
        <f>'27'!G9+'37'!G9+'38'!G9+'40'!G9+'42'!G9+'45'!G9+'48'!G9+'50'!G9+'55'!G9+'61'!G9+'76'!G9+'КЛ 77'!G9+'78'!G9+КТЛ!G9+'83'!G9+'3'!G10+'110'!G9+'116'!G9+'117'!G9+'1'!G10+'2'!G10</f>
        <v>3842363.4399999995</v>
      </c>
      <c r="H9" s="24">
        <f>'27'!H9+'37'!H9+'38'!H9+'40'!H9+'42'!H9+'45'!H9+'48'!H9+'50'!H9+'55'!H9+'61'!H9+'76'!H9+'КЛ 77'!H9+'78'!H9+КТЛ!H9+'83'!H9+'3'!H10+'110'!H9+'116'!H9+'117'!H9+'1'!H10+'2'!H10</f>
        <v>3842363.4399999995</v>
      </c>
      <c r="I9" s="24">
        <f>'27'!I9+'37'!I9+'38'!I9+'40'!I9+'42'!I9+'45'!I9+'48'!I9+'50'!I9+'55'!I9+'61'!I9+'76'!I9+'КЛ 77'!I9+'78'!I9+КТЛ!I9+'83'!I9+'3'!I10+'110'!I9+'116'!I9+'117'!I9+'1'!I10+'2'!I10</f>
        <v>0</v>
      </c>
      <c r="J9" s="24">
        <f>'27'!J9+'37'!J9+'38'!J9+'40'!J9+'42'!J9+'45'!J9+'48'!J9+'50'!J9+'55'!J9+'61'!J9+'76'!J9+'КЛ 77'!J9+'78'!J9+КТЛ!J9+'83'!J9+'3'!J10+'110'!J9+'116'!J9+'117'!J9+'1'!J10+'2'!J10</f>
        <v>4021358.36</v>
      </c>
      <c r="K9" s="24">
        <f>'27'!K9+'37'!K9+'38'!K9+'40'!K9+'42'!K9+'45'!K9+'48'!K9+'50'!K9+'55'!K9+'61'!K9+'76'!K9+'КЛ 77'!K9+'78'!K9+КТЛ!K9+'83'!K9+'3'!K10+'110'!K9+'116'!K9+'117'!K9+'1'!K10+'2'!K10</f>
        <v>4021358.36</v>
      </c>
      <c r="L9" s="24">
        <f>'27'!L9+'37'!L9+'38'!L9+'40'!L9+'42'!L9+'45'!L9+'48'!L9+'50'!L9+'55'!L9+'61'!L9+'76'!L9+'КЛ 77'!L9+'78'!L9+КТЛ!L9+'83'!L9+'3'!L10+'110'!L9+'116'!L9+'117'!L9+'1'!L10+'2'!L10</f>
        <v>0</v>
      </c>
      <c r="M9" s="24">
        <f>'27'!M9+'37'!M9+'38'!M9+'40'!M9+'42'!M9+'45'!M9+'48'!M9+'50'!M9+'55'!M9+'61'!M9+'76'!M9+'КЛ 77'!M9+'78'!M9+КТЛ!M9+'83'!M9+'3'!M10+'110'!M9+'116'!M9+'117'!M9+'1'!M10+'2'!M10</f>
        <v>4029911.05</v>
      </c>
      <c r="N9" s="24">
        <f>'27'!N9+'37'!N9+'38'!N9+'40'!N9+'42'!N9+'45'!N9+'48'!N9+'50'!N9+'55'!N9+'61'!N9+'76'!N9+'КЛ 77'!N9+'78'!N9+КТЛ!N9+'83'!N9+'3'!N10+'110'!N9+'116'!N9+'117'!N9+'1'!N10+'2'!N10</f>
        <v>4029911.05</v>
      </c>
      <c r="O9" s="24">
        <f>'27'!O9+'37'!O9+'38'!O9+'40'!O9+'42'!O9+'45'!O9+'48'!O9+'50'!O9+'55'!O9+'61'!O9+'76'!O9+'КЛ 77'!O9+'78'!O9+КТЛ!O9+'83'!O9+'3'!O10+'110'!O9+'116'!O9+'117'!O9+'1'!O10+'2'!O10</f>
        <v>0</v>
      </c>
      <c r="P9" s="24">
        <f>'27'!P9+'37'!P9+'38'!P9+'40'!P9+'42'!P9+'45'!P9+'48'!P9+'50'!P9+'55'!P9+'61'!P9+'76'!P9+'КЛ 77'!P9+'78'!P9+КТЛ!P9+'83'!P9+'3'!P10+'110'!P9+'116'!P9+'117'!P9+'1'!P10+'2'!P10</f>
        <v>4185991.41</v>
      </c>
      <c r="Q9" s="24">
        <f>'27'!Q9+'37'!Q9+'38'!Q9+'40'!Q9+'42'!Q9+'45'!Q9+'48'!Q9+'50'!Q9+'55'!Q9+'61'!Q9+'76'!Q9+'КЛ 77'!Q9+'78'!Q9+КТЛ!Q9+'83'!Q9+'3'!Q10+'110'!Q9+'116'!Q9+'117'!Q9+'1'!Q10+'2'!Q10</f>
        <v>4185991.41</v>
      </c>
      <c r="R9" s="24">
        <f>'27'!R9+'37'!R9+'38'!R9+'40'!R9+'42'!R9+'45'!R9+'48'!R9+'50'!R9+'55'!R9+'61'!R9+'76'!R9+'КЛ 77'!R9+'78'!R9+КТЛ!R9+'83'!R9+'3'!R10+'110'!R9+'116'!R9+'117'!R9+'1'!R10+'2'!R10</f>
        <v>0</v>
      </c>
      <c r="S9" s="24">
        <f>'27'!S9+'37'!S9+'38'!S9+'40'!S9+'42'!S9+'45'!S9+'48'!S9+'50'!S9+'55'!S9+'61'!S9+'76'!S9+'КЛ 77'!S9+'78'!S9+КТЛ!S9+'83'!S9+'3'!S10+'110'!S9+'116'!S9+'117'!S9+'1'!S10+'2'!S10</f>
        <v>4571300.879999999</v>
      </c>
      <c r="T9" s="24">
        <f>'27'!T9+'37'!T9+'38'!T9+'40'!T9+'42'!T9+'45'!T9+'48'!T9+'50'!T9+'55'!T9+'61'!T9+'76'!T9+'КЛ 77'!T9+'78'!T9+КТЛ!T9+'83'!T9+'3'!T10+'110'!T9+'116'!T9+'117'!T9+'1'!T10+'2'!T10</f>
        <v>4571300.879999999</v>
      </c>
      <c r="U9" s="24">
        <f>'27'!U9+'37'!U9+'38'!U9+'40'!U9+'42'!U9+'45'!U9+'48'!U9+'50'!U9+'55'!U9+'61'!U9+'76'!U9+'КЛ 77'!U9+'78'!U9+КТЛ!U9+'83'!U9+'3'!U10+'110'!U9+'116'!U9+'117'!U9+'1'!U10+'2'!U10</f>
        <v>0</v>
      </c>
      <c r="V9" s="24">
        <f>'27'!V9+'37'!V9+'38'!V9+'40'!V9+'42'!V9+'45'!V9+'48'!V9+'50'!V9+'55'!V9+'61'!V9+'76'!V9+'КЛ 77'!V9+'78'!V9+КТЛ!V9+'83'!V9+'3'!V10+'110'!V9+'116'!V9+'117'!V9+'1'!V10+'2'!V10</f>
        <v>3506612.18</v>
      </c>
      <c r="W9" s="24">
        <f>'27'!W9+'37'!W9+'38'!W9+'40'!W9+'42'!W9+'45'!W9+'48'!W9+'50'!W9+'55'!W9+'61'!W9+'76'!W9+'КЛ 77'!W9+'78'!W9+КТЛ!W9+'83'!W9+'3'!W10+'110'!W9+'116'!W9+'117'!W9+'1'!W10+'2'!W10</f>
        <v>3506612.18</v>
      </c>
      <c r="X9" s="24">
        <f>'27'!X9+'37'!X9+'38'!X9+'40'!X9+'42'!X9+'45'!X9+'48'!X9+'50'!X9+'55'!X9+'61'!X9+'76'!X9+'КЛ 77'!X9+'78'!X9+КТЛ!X9+'83'!X9+'3'!X10+'110'!X9+'116'!X9+'117'!X9+'1'!X10+'2'!X10</f>
        <v>0</v>
      </c>
      <c r="Y9" s="24" t="s">
        <v>62</v>
      </c>
      <c r="Z9" s="25">
        <f>'27'!Z9+'37'!Z9+'38'!Z9+'40'!Z9+'42'!Z9+'45'!Z9+'48'!Z9+'50'!Z9+'55'!Z9+'61'!Z9+'76'!Z9+'КЛ 77'!Z9+'78'!Z9+КТЛ!Z9+'83'!Z9+'3'!Z10+'110'!Z9+'116'!Z9+'117'!Z9+'1'!Z10+'2'!Z10</f>
        <v>3310358.68</v>
      </c>
      <c r="AA9" s="24">
        <f>'27'!AA9+'37'!AA9+'38'!AA9+'40'!AA9+'42'!AA9+'45'!AA9+'48'!AA9+'50'!AA9+'55'!AA9+'61'!AA9+'76'!AA9+'КЛ 77'!AA9+'78'!AA9+КТЛ!AA9+'83'!AA9+'3'!AA10+'110'!AA9+'116'!AA9+'117'!AA9+'1'!AA10+'2'!AA10</f>
        <v>0</v>
      </c>
      <c r="AB9" s="24">
        <f>'27'!AB9+'37'!AB9+'38'!AB9+'40'!AB9+'42'!AB9+'45'!AB9+'48'!AB9+'50'!AB9+'55'!AB9+'61'!AB9+'76'!AB9+'КЛ 77'!AB9+'78'!AB9+КТЛ!AB9+'83'!AB9+'3'!AB10+'110'!AB9+'116'!AB9+'117'!AB9+'1'!AB10+'2'!AB10</f>
        <v>4267961.8100000005</v>
      </c>
      <c r="AC9" s="24">
        <f>'27'!AC9+'37'!AC9+'38'!AC9+'40'!AC9+'42'!AC9+'45'!AC9+'48'!AC9+'50'!AC9+'55'!AC9+'61'!AC9+'76'!AC9+'КЛ 77'!AC9+'78'!AC9+КТЛ!AC9+'83'!AC9+'3'!AC10+'110'!AC9+'116'!AC9+'117'!AC9+'1'!AC10+'2'!AC10</f>
        <v>4267961.8100000005</v>
      </c>
      <c r="AD9" s="24">
        <f>'27'!AD9+'37'!AD9+'38'!AD9+'40'!AD9+'42'!AD9+'45'!AD9+'48'!AD9+'50'!AD9+'55'!AD9+'61'!AD9+'76'!AD9+'КЛ 77'!AD9+'78'!AD9+КТЛ!AD9+'83'!AD9+'3'!AD10+'110'!AD9+'116'!AD9+'117'!AD9+'1'!AD10+'2'!AD10</f>
        <v>0</v>
      </c>
      <c r="AE9" s="24">
        <f>'27'!AE9+'37'!AE9+'38'!AE9+'40'!AE9+'42'!AE9+'45'!AE9+'48'!AE9+'50'!AE9+'55'!AE9+'61'!AE9+'76'!AE9+'КЛ 77'!AE9+'78'!AE9+КТЛ!AE9+'83'!AE9+'3'!AE10+'110'!AE9+'116'!AE9+'117'!AE9+'1'!AE10+'2'!AE10</f>
        <v>0</v>
      </c>
      <c r="AF9" s="26">
        <f>'27'!AF9+'37'!AF9+'38'!AF9+'40'!AF9+'42'!AF9+'45'!AF9+'48'!AF9+'50'!AF9+'55'!AF9+'61'!AF9+'76'!AF9+'КЛ 77'!AF9+'78'!AF9+КТЛ!AF9+'83'!AF9+'3'!AF10+'110'!AF9+'116'!AF9+'117'!AF9+'1'!AF10+'2'!AF10</f>
        <v>0</v>
      </c>
      <c r="AG9" s="24">
        <f>'27'!AG9+'37'!AG9+'38'!AG9+'40'!AG9+'42'!AG9+'45'!AG9+'48'!AG9+'50'!AG9+'55'!AG9+'61'!AG9+'76'!AG9+'КЛ 77'!AG9+'78'!AG9+КТЛ!AG9+'83'!AG9+'3'!AG10+'110'!AG9+'116'!AG9+'117'!AG9+'1'!AG10+'2'!AG10</f>
        <v>0</v>
      </c>
      <c r="AH9" s="24">
        <f>'27'!AH9+'37'!AH9+'38'!AH9+'40'!AH9+'42'!AH9+'45'!AH9+'48'!AH9+'50'!AH9+'55'!AH9+'61'!AH9+'76'!AH9+'КЛ 77'!AH9+'78'!AH9+КТЛ!AH9+'83'!AH9+'3'!AH10+'110'!AH9+'116'!AH9+'117'!AH9+'1'!AH10+'2'!AH10</f>
        <v>0</v>
      </c>
      <c r="AI9" s="24">
        <f>'27'!AI9+'37'!AI9+'38'!AI9+'40'!AI9+'42'!AI9+'45'!AI9+'48'!AI9+'50'!AI9+'55'!AI9+'61'!AI9+'76'!AI9+'КЛ 77'!AI9+'78'!AI9+КТЛ!AI9+'83'!AI9+'3'!AI10+'110'!AI9+'116'!AI9+'117'!AI9+'1'!AI10+'2'!AI10</f>
        <v>0</v>
      </c>
      <c r="AJ9" s="24">
        <f>'27'!AJ9+'37'!AJ9+'38'!AJ9+'40'!AJ9+'42'!AJ9+'45'!AJ9+'48'!AJ9+'50'!AJ9+'55'!AJ9+'61'!AJ9+'76'!AJ9+'КЛ 77'!AJ9+'78'!AJ9+КТЛ!AJ9+'83'!AJ9+'3'!AJ10+'110'!AJ9+'116'!AJ9+'117'!AJ9+'1'!AJ10+'2'!AJ10</f>
        <v>0</v>
      </c>
      <c r="AK9" s="24">
        <f>'27'!AK9+'37'!AK9+'38'!AK9+'40'!AK9+'42'!AK9+'45'!AK9+'48'!AK9+'50'!AK9+'55'!AK9+'61'!AK9+'76'!AK9+'КЛ 77'!AK9+'78'!AK9+КТЛ!AK9+'83'!AK9+'3'!AK10+'110'!AK9+'116'!AK9+'117'!AK9+'1'!AK10+'2'!AK10</f>
        <v>0</v>
      </c>
      <c r="AL9" s="24">
        <f>'27'!AL9+'37'!AL9+'38'!AL9+'40'!AL9+'42'!AL9+'45'!AL9+'48'!AL9+'50'!AL9+'55'!AL9+'61'!AL9+'76'!AL9+'КЛ 77'!AL9+'78'!AL9+КТЛ!AL9+'83'!AL9+'3'!AL10+'110'!AL9+'116'!AL9+'117'!AL9+'1'!AL10+'2'!AL10</f>
        <v>0</v>
      </c>
      <c r="AM9" s="26">
        <f>'27'!AM9+'37'!AM9+'38'!AM9+'40'!AM9+'42'!AM9+'45'!AM9+'48'!AM9+'50'!AM9+'55'!AM9+'61'!AM9+'76'!AM9+'КЛ 77'!AM9+'78'!AM9+КТЛ!AM9+'83'!AM9+'3'!AM10+'110'!AM9+'116'!AM9+'117'!AM9+'1'!AM10+'2'!AM10</f>
        <v>0</v>
      </c>
      <c r="AN9" s="26">
        <f>'27'!AN9+'37'!AN9+'38'!AN9+'40'!AN9+'42'!AN9+'45'!AN9+'48'!AN9+'50'!AN9+'55'!AN9+'61'!AN9+'76'!AN9+'КЛ 77'!AN9+'78'!AN9+КТЛ!AN9+'83'!AN9+'3'!AN10+'110'!AN9+'116'!AN9+'117'!AN9+'1'!AN10+'2'!AN10</f>
        <v>35635824.649999991</v>
      </c>
      <c r="AO9" s="42">
        <f>'27'!AO9+'37'!AO9+'38'!AO9+'40'!AO9+'42'!AO9+'45'!AO9+'48'!AO9+'50'!AO9+'55'!AO9+'61'!AO9+'76'!AO9+'КЛ 77'!AO9+'78'!AO9+КТЛ!AO9+'83'!AO9+'3'!AO10+'110'!AO9+'116'!AO9+'117'!AO9+'1'!AO10+'2'!AO10</f>
        <v>35635824.649999991</v>
      </c>
      <c r="AP9" s="39" t="s">
        <v>61</v>
      </c>
      <c r="AQ9" s="28">
        <v>2111</v>
      </c>
    </row>
    <row r="10" spans="1:44" s="28" customFormat="1" ht="20.100000000000001" customHeight="1">
      <c r="A10" s="23">
        <v>2120</v>
      </c>
      <c r="B10" s="23" t="s">
        <v>1</v>
      </c>
      <c r="C10" s="24">
        <f>'27'!C10+'37'!C10+'38'!C10+'40'!C10+'42'!C10+'45'!C10+'48'!C10+'50'!C10+'55'!C10+'61'!C10+'76'!C10+'КЛ 77'!C10+'78'!C10+КТЛ!C10+'83'!C10+'3'!C11+'110'!C10+'116'!C10+'117'!C10+'1'!C11+'2'!C11</f>
        <v>0</v>
      </c>
      <c r="D10" s="24">
        <f>'27'!D10+'37'!D10+'38'!D10+'40'!D10+'42'!D10+'45'!D10+'48'!D10+'50'!D10+'55'!D10+'61'!D10+'76'!D10+'КЛ 77'!D10+'78'!D10+КТЛ!D10+'83'!D10+'3'!D11+'110'!D10+'116'!D10+'117'!D10+'1'!D11+'2'!D11</f>
        <v>877524.79</v>
      </c>
      <c r="E10" s="24">
        <f t="shared" ref="E10:E29" si="0">D10+C10</f>
        <v>877524.79</v>
      </c>
      <c r="F10" s="24">
        <f>'27'!F10+'37'!F10+'38'!F10+'40'!F10+'42'!F10+'45'!F10+'48'!F10+'50'!F10+'55'!F10+'61'!F10+'76'!F10+'КЛ 77'!F10+'78'!F10+КТЛ!F10+'83'!F10+'3'!F11+'110'!F10+'116'!F10+'117'!F10+'1'!F11+'2'!F11</f>
        <v>0</v>
      </c>
      <c r="G10" s="24">
        <f>'27'!G10+'37'!G10+'38'!G10+'40'!G10+'42'!G10+'45'!G10+'48'!G10+'50'!G10+'55'!G10+'61'!G10+'76'!G10+'КЛ 77'!G10+'78'!G10+КТЛ!G10+'83'!G10+'3'!G11+'110'!G10+'116'!G10+'117'!G10+'1'!G11+'2'!G11</f>
        <v>855032.5299999998</v>
      </c>
      <c r="H10" s="24">
        <f>'27'!H10+'37'!H10+'38'!H10+'40'!H10+'42'!H10+'45'!H10+'48'!H10+'50'!H10+'55'!H10+'61'!H10+'76'!H10+'КЛ 77'!H10+'78'!H10+КТЛ!H10+'83'!H10+'3'!H11+'110'!H10+'116'!H10+'117'!H10+'1'!H11+'2'!H11</f>
        <v>855032.5299999998</v>
      </c>
      <c r="I10" s="24">
        <f>'27'!I10+'37'!I10+'38'!I10+'40'!I10+'42'!I10+'45'!I10+'48'!I10+'50'!I10+'55'!I10+'61'!I10+'76'!I10+'КЛ 77'!I10+'78'!I10+КТЛ!I10+'83'!I10+'3'!I11+'110'!I10+'116'!I10+'117'!I10+'1'!I11+'2'!I11</f>
        <v>0</v>
      </c>
      <c r="J10" s="24">
        <f>'27'!J10+'37'!J10+'38'!J10+'40'!J10+'42'!J10+'45'!J10+'48'!J10+'50'!J10+'55'!J10+'61'!J10+'76'!J10+'КЛ 77'!J10+'78'!J10+КТЛ!J10+'83'!J10+'3'!J11+'110'!J10+'116'!J10+'117'!J10+'1'!J11+'2'!J11</f>
        <v>925948.76999999979</v>
      </c>
      <c r="K10" s="24">
        <f>'27'!K10+'37'!K10+'38'!K10+'40'!K10+'42'!K10+'45'!K10+'48'!K10+'50'!K10+'55'!K10+'61'!K10+'76'!K10+'КЛ 77'!K10+'78'!K10+КТЛ!K10+'83'!K10+'3'!K11+'110'!K10+'116'!K10+'117'!K10+'1'!K11+'2'!K11</f>
        <v>925948.76999999979</v>
      </c>
      <c r="L10" s="24">
        <f>'27'!L10+'37'!L10+'38'!L10+'40'!L10+'42'!L10+'45'!L10+'48'!L10+'50'!L10+'55'!L10+'61'!L10+'76'!L10+'КЛ 77'!L10+'78'!L10+КТЛ!L10+'83'!L10+'3'!L11+'110'!L10+'116'!L10+'117'!L10+'1'!L11+'2'!L11</f>
        <v>0</v>
      </c>
      <c r="M10" s="24">
        <f>'27'!M10+'37'!M10+'38'!M10+'40'!M10+'42'!M10+'45'!M10+'48'!M10+'50'!M10+'55'!M10+'61'!M10+'76'!M10+'КЛ 77'!M10+'78'!M10+КТЛ!M10+'83'!M10+'3'!M11+'110'!M10+'116'!M10+'117'!M10+'1'!M11+'2'!M11</f>
        <v>890758.17</v>
      </c>
      <c r="N10" s="24">
        <f>'27'!N10+'37'!N10+'38'!N10+'40'!N10+'42'!N10+'45'!N10+'48'!N10+'50'!N10+'55'!N10+'61'!N10+'76'!N10+'КЛ 77'!N10+'78'!N10+КТЛ!N10+'83'!N10+'3'!N11+'110'!N10+'116'!N10+'117'!N10+'1'!N11+'2'!N11</f>
        <v>890758.17</v>
      </c>
      <c r="O10" s="24">
        <f>'27'!O10+'37'!O10+'38'!O10+'40'!O10+'42'!O10+'45'!O10+'48'!O10+'50'!O10+'55'!O10+'61'!O10+'76'!O10+'КЛ 77'!O10+'78'!O10+КТЛ!O10+'83'!O10+'3'!O11+'110'!O10+'116'!O10+'117'!O10+'1'!O11+'2'!O11</f>
        <v>0</v>
      </c>
      <c r="P10" s="24">
        <f>'27'!P10+'37'!P10+'38'!P10+'40'!P10+'42'!P10+'45'!P10+'48'!P10+'50'!P10+'55'!P10+'61'!P10+'76'!P10+'КЛ 77'!P10+'78'!P10+КТЛ!P10+'83'!P10+'3'!P11+'110'!P10+'116'!P10+'117'!P10+'1'!P11+'2'!P11</f>
        <v>920417.66999999981</v>
      </c>
      <c r="Q10" s="24">
        <f>'27'!Q10+'37'!Q10+'38'!Q10+'40'!Q10+'42'!Q10+'45'!Q10+'48'!Q10+'50'!Q10+'55'!Q10+'61'!Q10+'76'!Q10+'КЛ 77'!Q10+'78'!Q10+КТЛ!Q10+'83'!Q10+'3'!Q11+'110'!Q10+'116'!Q10+'117'!Q10+'1'!Q11+'2'!Q11</f>
        <v>920417.66999999981</v>
      </c>
      <c r="R10" s="24">
        <f>'27'!R10+'37'!R10+'38'!R10+'40'!R10+'42'!R10+'45'!R10+'48'!R10+'50'!R10+'55'!R10+'61'!R10+'76'!R10+'КЛ 77'!R10+'78'!R10+КТЛ!R10+'83'!R10+'3'!R11+'110'!R10+'116'!R10+'117'!R10+'1'!R11+'2'!R11</f>
        <v>0</v>
      </c>
      <c r="S10" s="24">
        <f>'27'!S10+'37'!S10+'38'!S10+'40'!S10+'42'!S10+'45'!S10+'48'!S10+'50'!S10+'55'!S10+'61'!S10+'76'!S10+'КЛ 77'!S10+'78'!S10+КТЛ!S10+'83'!S10+'3'!S11+'110'!S10+'116'!S10+'117'!S10+'1'!S11+'2'!S11</f>
        <v>1010518.64</v>
      </c>
      <c r="T10" s="24">
        <f>'27'!T10+'37'!T10+'38'!T10+'40'!T10+'42'!T10+'45'!T10+'48'!T10+'50'!T10+'55'!T10+'61'!T10+'76'!T10+'КЛ 77'!T10+'78'!T10+КТЛ!T10+'83'!T10+'3'!T11+'110'!T10+'116'!T10+'117'!T10+'1'!T11+'2'!T11</f>
        <v>1010518.64</v>
      </c>
      <c r="U10" s="24">
        <f>'27'!U10+'37'!U10+'38'!U10+'40'!U10+'42'!U10+'45'!U10+'48'!U10+'50'!U10+'55'!U10+'61'!U10+'76'!U10+'КЛ 77'!U10+'78'!U10+КТЛ!U10+'83'!U10+'3'!U11+'110'!U10+'116'!U10+'117'!U10+'1'!U11+'2'!U11</f>
        <v>0</v>
      </c>
      <c r="V10" s="24">
        <f>'27'!V10+'37'!V10+'38'!V10+'40'!V10+'42'!V10+'45'!V10+'48'!V10+'50'!V10+'55'!V10+'61'!V10+'76'!V10+'КЛ 77'!V10+'78'!V10+КТЛ!V10+'83'!V10+'3'!V11+'110'!V10+'116'!V10+'117'!V10+'1'!V11+'2'!V11</f>
        <v>778071.75999999989</v>
      </c>
      <c r="W10" s="24">
        <f>'27'!W10+'37'!W10+'38'!W10+'40'!W10+'42'!W10+'45'!W10+'48'!W10+'50'!W10+'55'!W10+'61'!W10+'76'!W10+'КЛ 77'!W10+'78'!W10+КТЛ!W10+'83'!W10+'3'!W11+'110'!W10+'116'!W10+'117'!W10+'1'!W11+'2'!W11</f>
        <v>778071.75999999989</v>
      </c>
      <c r="X10" s="24">
        <f>'27'!X10+'37'!X10+'38'!X10+'40'!X10+'42'!X10+'45'!X10+'48'!X10+'50'!X10+'55'!X10+'61'!X10+'76'!X10+'КЛ 77'!X10+'78'!X10+КТЛ!X10+'83'!X10+'3'!X11+'110'!X10+'116'!X10+'117'!X10+'1'!X11+'2'!X11</f>
        <v>0</v>
      </c>
      <c r="Y10" s="24">
        <f>'27'!Y10+'37'!Y10+'38'!Y10+'40'!Y10+'42'!Y10+'45'!Y10+'48'!Y10+'50'!Y10+'55'!Y10+'61'!Y10+'76'!Y10+'КЛ 77'!Y10+'78'!Y10+КТЛ!Y10+'83'!Y10+'3'!Y11+'110'!Y10+'116'!Y10+'117'!Y10+'1'!Y11+'2'!Y11</f>
        <v>752538.66000000015</v>
      </c>
      <c r="Z10" s="25">
        <f>'27'!Z10+'37'!Z10+'38'!Z10+'40'!Z10+'42'!Z10+'45'!Z10+'48'!Z10+'50'!Z10+'55'!Z10+'61'!Z10+'76'!Z10+'КЛ 77'!Z10+'78'!Z10+КТЛ!Z10+'83'!Z10+'3'!Z11+'110'!Z10+'116'!Z10+'117'!Z10+'1'!Z11+'2'!Z11</f>
        <v>752538.66000000015</v>
      </c>
      <c r="AA10" s="24">
        <f>'27'!AA10+'37'!AA10+'38'!AA10+'40'!AA10+'42'!AA10+'45'!AA10+'48'!AA10+'50'!AA10+'55'!AA10+'61'!AA10+'76'!AA10+'КЛ 77'!AA10+'78'!AA10+КТЛ!AA10+'83'!AA10+'3'!AA11+'110'!AA10+'116'!AA10+'117'!AA10+'1'!AA11+'2'!AA11</f>
        <v>0</v>
      </c>
      <c r="AB10" s="24">
        <f>'27'!AB10+'37'!AB10+'38'!AB10+'40'!AB10+'42'!AB10+'45'!AB10+'48'!AB10+'50'!AB10+'55'!AB10+'61'!AB10+'76'!AB10+'КЛ 77'!AB10+'78'!AB10+КТЛ!AB10+'83'!AB10+'3'!AB11+'110'!AB10+'116'!AB10+'117'!AB10+'1'!AB11+'2'!AB11</f>
        <v>931532.36</v>
      </c>
      <c r="AC10" s="24">
        <f>'27'!AC10+'37'!AC10+'38'!AC10+'40'!AC10+'42'!AC10+'45'!AC10+'48'!AC10+'50'!AC10+'55'!AC10+'61'!AC10+'76'!AC10+'КЛ 77'!AC10+'78'!AC10+КТЛ!AC10+'83'!AC10+'3'!AC11+'110'!AC10+'116'!AC10+'117'!AC10+'1'!AC11+'2'!AC11</f>
        <v>931532.36</v>
      </c>
      <c r="AD10" s="24">
        <f>'27'!AD10+'37'!AD10+'38'!AD10+'40'!AD10+'42'!AD10+'45'!AD10+'48'!AD10+'50'!AD10+'55'!AD10+'61'!AD10+'76'!AD10+'КЛ 77'!AD10+'78'!AD10+КТЛ!AD10+'83'!AD10+'3'!AD11+'110'!AD10+'116'!AD10+'117'!AD10+'1'!AD11+'2'!AD11</f>
        <v>0</v>
      </c>
      <c r="AE10" s="24">
        <f>'27'!AE10+'37'!AE10+'38'!AE10+'40'!AE10+'42'!AE10+'45'!AE10+'48'!AE10+'50'!AE10+'55'!AE10+'61'!AE10+'76'!AE10+'КЛ 77'!AE10+'78'!AE10+КТЛ!AE10+'83'!AE10+'3'!AE11+'110'!AE10+'116'!AE10+'117'!AE10+'1'!AE11+'2'!AE11</f>
        <v>0</v>
      </c>
      <c r="AF10" s="26">
        <f>'27'!AF10+'37'!AF10+'38'!AF10+'40'!AF10+'42'!AF10+'45'!AF10+'48'!AF10+'50'!AF10+'55'!AF10+'61'!AF10+'76'!AF10+'КЛ 77'!AF10+'78'!AF10+КТЛ!AF10+'83'!AF10+'3'!AF11+'110'!AF10+'116'!AF10+'117'!AF10+'1'!AF11+'2'!AF11</f>
        <v>0</v>
      </c>
      <c r="AG10" s="24">
        <f>'27'!AG10+'37'!AG10+'38'!AG10+'40'!AG10+'42'!AG10+'45'!AG10+'48'!AG10+'50'!AG10+'55'!AG10+'61'!AG10+'76'!AG10+'КЛ 77'!AG10+'78'!AG10+КТЛ!AG10+'83'!AG10+'3'!AG11+'110'!AG10+'116'!AG10+'117'!AG10+'1'!AG11+'2'!AG11</f>
        <v>0</v>
      </c>
      <c r="AH10" s="24">
        <f>'27'!AH10+'37'!AH10+'38'!AH10+'40'!AH10+'42'!AH10+'45'!AH10+'48'!AH10+'50'!AH10+'55'!AH10+'61'!AH10+'76'!AH10+'КЛ 77'!AH10+'78'!AH10+КТЛ!AH10+'83'!AH10+'3'!AH11+'110'!AH10+'116'!AH10+'117'!AH10+'1'!AH11+'2'!AH11</f>
        <v>0</v>
      </c>
      <c r="AI10" s="24">
        <f>'27'!AI10+'37'!AI10+'38'!AI10+'40'!AI10+'42'!AI10+'45'!AI10+'48'!AI10+'50'!AI10+'55'!AI10+'61'!AI10+'76'!AI10+'КЛ 77'!AI10+'78'!AI10+КТЛ!AI10+'83'!AI10+'3'!AI11+'110'!AI10+'116'!AI10+'117'!AI10+'1'!AI11+'2'!AI11</f>
        <v>0</v>
      </c>
      <c r="AJ10" s="24">
        <f>'27'!AJ10+'37'!AJ10+'38'!AJ10+'40'!AJ10+'42'!AJ10+'45'!AJ10+'48'!AJ10+'50'!AJ10+'55'!AJ10+'61'!AJ10+'76'!AJ10+'КЛ 77'!AJ10+'78'!AJ10+КТЛ!AJ10+'83'!AJ10+'3'!AJ11+'110'!AJ10+'116'!AJ10+'117'!AJ10+'1'!AJ11+'2'!AJ11</f>
        <v>0</v>
      </c>
      <c r="AK10" s="24">
        <f>'27'!AK10+'37'!AK10+'38'!AK10+'40'!AK10+'42'!AK10+'45'!AK10+'48'!AK10+'50'!AK10+'55'!AK10+'61'!AK10+'76'!AK10+'КЛ 77'!AK10+'78'!AK10+КТЛ!AK10+'83'!AK10+'3'!AK11+'110'!AK10+'116'!AK10+'117'!AK10+'1'!AK11+'2'!AK11</f>
        <v>0</v>
      </c>
      <c r="AL10" s="24">
        <f>'27'!AL10+'37'!AL10+'38'!AL10+'40'!AL10+'42'!AL10+'45'!AL10+'48'!AL10+'50'!AL10+'55'!AL10+'61'!AL10+'76'!AL10+'КЛ 77'!AL10+'78'!AL10+КТЛ!AL10+'83'!AL10+'3'!AL11+'110'!AL10+'116'!AL10+'117'!AL10+'1'!AL11+'2'!AL11</f>
        <v>0</v>
      </c>
      <c r="AM10" s="27">
        <f>'27'!AM10+'37'!AM10+'38'!AM10+'40'!AM10+'42'!AM10+'45'!AM10+'48'!AM10+'50'!AM10+'55'!AM10+'61'!AM10+'76'!AM10+'КЛ 77'!AM10+'78'!AM10+КТЛ!AM10+'83'!AM10+'3'!AM11+'110'!AM10+'116'!AM10+'117'!AM10+'1'!AM11+'2'!AM11</f>
        <v>0</v>
      </c>
      <c r="AN10" s="26">
        <f>'27'!AN10+'37'!AN10+'38'!AN10+'40'!AN10+'42'!AN10+'45'!AN10+'48'!AN10+'50'!AN10+'55'!AN10+'61'!AN10+'76'!AN10+'КЛ 77'!AN10+'78'!AN10+КТЛ!AN10+'83'!AN10+'3'!AN11+'110'!AN10+'116'!AN10+'117'!AN10+'1'!AN11+'2'!AN11</f>
        <v>7942343.3499999996</v>
      </c>
      <c r="AO10" s="42">
        <f>'27'!AO10+'37'!AO10+'38'!AO10+'40'!AO10+'42'!AO10+'45'!AO10+'48'!AO10+'50'!AO10+'55'!AO10+'61'!AO10+'76'!AO10+'КЛ 77'!AO10+'78'!AO10+КТЛ!AO10+'83'!AO10+'3'!AO11+'110'!AO10+'116'!AO10+'117'!AO10+'1'!AO11+'2'!AO11</f>
        <v>7942343.3499999996</v>
      </c>
      <c r="AP10" s="39"/>
      <c r="AQ10" s="28">
        <v>2120</v>
      </c>
    </row>
    <row r="11" spans="1:44" s="28" customFormat="1" ht="20.100000000000001" customHeight="1">
      <c r="A11" s="23">
        <v>2210</v>
      </c>
      <c r="B11" s="23" t="s">
        <v>2</v>
      </c>
      <c r="C11" s="24">
        <f>'27'!C11+'37'!C11+'38'!C11+'40'!C11+'42'!C11+'45'!C11+'48'!C11+'50'!C11+'55'!C11+'61'!C11+'76'!C11+'КЛ 77'!C11+'78'!C11+КТЛ!C11+'83'!C11+'3'!C12+'110'!C11+'116'!C11+'117'!C11+'1'!C12+'2'!C12</f>
        <v>0</v>
      </c>
      <c r="D11" s="24">
        <f>'27'!D11+'37'!D11+'38'!D11+'40'!D11+'42'!D11+'45'!D11+'48'!D11+'50'!D11+'55'!D11+'61'!D11+'76'!D11+'КЛ 77'!D11+'78'!D11+КТЛ!D11+'83'!D11+'3'!D12+'110'!D11+'116'!D11+'117'!D11+'1'!D12+'2'!D12</f>
        <v>33539.439999999995</v>
      </c>
      <c r="E11" s="24">
        <f t="shared" si="0"/>
        <v>33539.439999999995</v>
      </c>
      <c r="F11" s="24">
        <f>'27'!F11+'37'!F11+'38'!F11+'40'!F11+'42'!F11+'45'!F11+'48'!F11+'50'!F11+'55'!F11+'61'!F11+'76'!F11+'КЛ 77'!F11+'78'!F11+КТЛ!F11+'83'!F11+'3'!F12+'110'!F11+'116'!F11+'117'!F11+'1'!F12+'2'!F12</f>
        <v>0</v>
      </c>
      <c r="G11" s="24">
        <f>'27'!G11+'37'!G11+'38'!G11+'40'!G11+'42'!G11+'45'!G11+'48'!G11+'50'!G11+'55'!G11+'61'!G11+'76'!G11+'КЛ 77'!G11+'78'!G11+КТЛ!G11+'83'!G11+'3'!G12+'110'!G11+'116'!G11+'117'!G11+'1'!G12+'2'!G12</f>
        <v>23718.83</v>
      </c>
      <c r="H11" s="24">
        <f>'27'!H11+'37'!H11+'38'!H11+'40'!H11+'42'!H11+'45'!H11+'48'!H11+'50'!H11+'55'!H11+'61'!H11+'76'!H11+'КЛ 77'!H11+'78'!H11+КТЛ!H11+'83'!H11+'3'!H12+'110'!H11+'116'!H11+'117'!H11+'1'!H12+'2'!H12</f>
        <v>23718.83</v>
      </c>
      <c r="I11" s="24">
        <f>'27'!I11+'37'!I11+'38'!I11+'40'!I11+'42'!I11+'45'!I11+'48'!I11+'50'!I11+'55'!I11+'61'!I11+'76'!I11+'КЛ 77'!I11+'78'!I11+КТЛ!I11+'83'!I11+'3'!I12+'110'!I11+'116'!I11+'117'!I11+'1'!I12+'2'!I12</f>
        <v>0</v>
      </c>
      <c r="J11" s="24">
        <f>'27'!J11+'37'!J11+'38'!J11+'40'!J11+'42'!J11+'45'!J11+'48'!J11+'50'!J11+'55'!J11+'61'!J11+'76'!J11+'КЛ 77'!J11+'78'!J11+КТЛ!J11+'83'!J11+'3'!J12+'110'!J11+'116'!J11+'117'!J11+'1'!J12+'2'!J12</f>
        <v>18270.52</v>
      </c>
      <c r="K11" s="24">
        <f>'27'!K11+'37'!K11+'38'!K11+'40'!K11+'42'!K11+'45'!K11+'48'!K11+'50'!K11+'55'!K11+'61'!K11+'76'!K11+'КЛ 77'!K11+'78'!K11+КТЛ!K11+'83'!K11+'3'!K12+'110'!K11+'116'!K11+'117'!K11+'1'!K12+'2'!K12</f>
        <v>18270.52</v>
      </c>
      <c r="L11" s="24">
        <f>'27'!L11+'37'!L11+'38'!L11+'40'!L11+'42'!L11+'45'!L11+'48'!L11+'50'!L11+'55'!L11+'61'!L11+'76'!L11+'КЛ 77'!L11+'78'!L11+КТЛ!L11+'83'!L11+'3'!L12+'110'!L11+'116'!L11+'117'!L11+'1'!L12+'2'!L12</f>
        <v>0</v>
      </c>
      <c r="M11" s="24">
        <f>'27'!M11+'37'!M11+'38'!M11+'40'!M11+'42'!M11+'45'!M11+'48'!M11+'50'!M11+'55'!M11+'61'!M11+'76'!M11+'КЛ 77'!M11+'78'!M11+КТЛ!M11+'83'!M11+'3'!M12+'110'!M11+'116'!M11+'117'!M11+'1'!M12+'2'!M12</f>
        <v>17360.679999999997</v>
      </c>
      <c r="N11" s="24">
        <f>'27'!N11+'37'!N11+'38'!N11+'40'!N11+'42'!N11+'45'!N11+'48'!N11+'50'!N11+'55'!N11+'61'!N11+'76'!N11+'КЛ 77'!N11+'78'!N11+КТЛ!N11+'83'!N11+'3'!N12+'110'!N11+'116'!N11+'117'!N11+'1'!N12+'2'!N12</f>
        <v>17360.679999999997</v>
      </c>
      <c r="O11" s="24">
        <f>'27'!O11+'37'!O11+'38'!O11+'40'!O11+'42'!O11+'45'!O11+'48'!O11+'50'!O11+'55'!O11+'61'!O11+'76'!O11+'КЛ 77'!O11+'78'!O11+КТЛ!O11+'83'!O11+'3'!O12+'110'!O11+'116'!O11+'117'!O11+'1'!O12+'2'!O12</f>
        <v>0</v>
      </c>
      <c r="P11" s="24">
        <f>'27'!P11+'37'!P11+'38'!P11+'40'!P11+'42'!P11+'45'!P11+'48'!P11+'50'!P11+'55'!P11+'61'!P11+'76'!P11+'КЛ 77'!P11+'78'!P11+КТЛ!P11+'83'!P11+'3'!P12+'110'!P11+'116'!P11+'117'!P11+'1'!P12+'2'!P12</f>
        <v>27620.14</v>
      </c>
      <c r="Q11" s="24">
        <f>'27'!Q11+'37'!Q11+'38'!Q11+'40'!Q11+'42'!Q11+'45'!Q11+'48'!Q11+'50'!Q11+'55'!Q11+'61'!Q11+'76'!Q11+'КЛ 77'!Q11+'78'!Q11+КТЛ!Q11+'83'!Q11+'3'!Q12+'110'!Q11+'116'!Q11+'117'!Q11+'1'!Q12+'2'!Q12</f>
        <v>27620.14</v>
      </c>
      <c r="R11" s="24">
        <f>'27'!R11+'37'!R11+'38'!R11+'40'!R11+'42'!R11+'45'!R11+'48'!R11+'50'!R11+'55'!R11+'61'!R11+'76'!R11+'КЛ 77'!R11+'78'!R11+КТЛ!R11+'83'!R11+'3'!R12+'110'!R11+'116'!R11+'117'!R11+'1'!R12+'2'!R12</f>
        <v>0</v>
      </c>
      <c r="S11" s="24">
        <f>'27'!S11+'37'!S11+'38'!S11+'40'!S11+'42'!S11+'45'!S11+'48'!S11+'50'!S11+'55'!S11+'61'!S11+'76'!S11+'КЛ 77'!S11+'78'!S11+КТЛ!S11+'83'!S11+'3'!S12+'110'!S11+'116'!S11+'117'!S11+'1'!S12+'2'!S12</f>
        <v>-83415.839999999982</v>
      </c>
      <c r="T11" s="24">
        <f>'27'!T11+'37'!T11+'38'!T11+'40'!T11+'42'!T11+'45'!T11+'48'!T11+'50'!T11+'55'!T11+'61'!T11+'76'!T11+'КЛ 77'!T11+'78'!T11+КТЛ!T11+'83'!T11+'3'!T12+'110'!T11+'116'!T11+'117'!T11+'1'!T12+'2'!T12</f>
        <v>-83415.839999999982</v>
      </c>
      <c r="U11" s="24">
        <f>'27'!U11+'37'!U11+'38'!U11+'40'!U11+'42'!U11+'45'!U11+'48'!U11+'50'!U11+'55'!U11+'61'!U11+'76'!U11+'КЛ 77'!U11+'78'!U11+КТЛ!U11+'83'!U11+'3'!U12+'110'!U11+'116'!U11+'117'!U11+'1'!U12+'2'!U12</f>
        <v>0</v>
      </c>
      <c r="V11" s="24">
        <f>'27'!V11+'37'!V11+'38'!V11+'40'!V11+'42'!V11+'45'!V11+'48'!V11+'50'!V11+'55'!V11+'61'!V11+'76'!V11+'КЛ 77'!V11+'78'!V11+КТЛ!V11+'83'!V11+'3'!V12+'110'!V11+'116'!V11+'117'!V11+'1'!V12+'2'!V12</f>
        <v>2574.29</v>
      </c>
      <c r="W11" s="24">
        <f>'27'!W11+'37'!W11+'38'!W11+'40'!W11+'42'!W11+'45'!W11+'48'!W11+'50'!W11+'55'!W11+'61'!W11+'76'!W11+'КЛ 77'!W11+'78'!W11+КТЛ!W11+'83'!W11+'3'!W12+'110'!W11+'116'!W11+'117'!W11+'1'!W12+'2'!W12</f>
        <v>2574.29</v>
      </c>
      <c r="X11" s="24">
        <f>'27'!X11+'37'!X11+'38'!X11+'40'!X11+'42'!X11+'45'!X11+'48'!X11+'50'!X11+'55'!X11+'61'!X11+'76'!X11+'КЛ 77'!X11+'78'!X11+КТЛ!X11+'83'!X11+'3'!X12+'110'!X11+'116'!X11+'117'!X11+'1'!X12+'2'!X12</f>
        <v>0</v>
      </c>
      <c r="Y11" s="24">
        <f>'27'!Y11+'37'!Y11+'38'!Y11+'40'!Y11+'42'!Y11+'45'!Y11+'48'!Y11+'50'!Y11+'55'!Y11+'61'!Y11+'76'!Y11+'КЛ 77'!Y11+'78'!Y11+КТЛ!Y11+'83'!Y11+'3'!Y12+'110'!Y11+'116'!Y11+'117'!Y11+'1'!Y12+'2'!Y12</f>
        <v>30552.460000000003</v>
      </c>
      <c r="Z11" s="25">
        <f>'27'!Z11+'37'!Z11+'38'!Z11+'40'!Z11+'42'!Z11+'45'!Z11+'48'!Z11+'50'!Z11+'55'!Z11+'61'!Z11+'76'!Z11+'КЛ 77'!Z11+'78'!Z11+КТЛ!Z11+'83'!Z11+'3'!Z12+'110'!Z11+'116'!Z11+'117'!Z11+'1'!Z12+'2'!Z12</f>
        <v>30552.460000000003</v>
      </c>
      <c r="AA11" s="24">
        <f>'27'!AA11+'37'!AA11+'38'!AA11+'40'!AA11+'42'!AA11+'45'!AA11+'48'!AA11+'50'!AA11+'55'!AA11+'61'!AA11+'76'!AA11+'КЛ 77'!AA11+'78'!AA11+КТЛ!AA11+'83'!AA11+'3'!AA12+'110'!AA11+'116'!AA11+'117'!AA11+'1'!AA12+'2'!AA12</f>
        <v>0</v>
      </c>
      <c r="AB11" s="24">
        <f>'27'!AB11+'37'!AB11+'38'!AB11+'40'!AB11+'42'!AB11+'45'!AB11+'48'!AB11+'50'!AB11+'55'!AB11+'61'!AB11+'76'!AB11+'КЛ 77'!AB11+'78'!AB11+КТЛ!AB11+'83'!AB11+'3'!AB12+'110'!AB11+'116'!AB11+'117'!AB11+'1'!AB12+'2'!AB12</f>
        <v>13715.449999999997</v>
      </c>
      <c r="AC11" s="24">
        <f>'27'!AC11+'37'!AC11+'38'!AC11+'40'!AC11+'42'!AC11+'45'!AC11+'48'!AC11+'50'!AC11+'55'!AC11+'61'!AC11+'76'!AC11+'КЛ 77'!AC11+'78'!AC11+КТЛ!AC11+'83'!AC11+'3'!AC12+'110'!AC11+'116'!AC11+'117'!AC11+'1'!AC12+'2'!AC12</f>
        <v>13715.449999999997</v>
      </c>
      <c r="AD11" s="24">
        <f>'27'!AD11+'37'!AD11+'38'!AD11+'40'!AD11+'42'!AD11+'45'!AD11+'48'!AD11+'50'!AD11+'55'!AD11+'61'!AD11+'76'!AD11+'КЛ 77'!AD11+'78'!AD11+КТЛ!AD11+'83'!AD11+'3'!AD12+'110'!AD11+'116'!AD11+'117'!AD11+'1'!AD12+'2'!AD12</f>
        <v>0</v>
      </c>
      <c r="AE11" s="24">
        <f>'27'!AE11+'37'!AE11+'38'!AE11+'40'!AE11+'42'!AE11+'45'!AE11+'48'!AE11+'50'!AE11+'55'!AE11+'61'!AE11+'76'!AE11+'КЛ 77'!AE11+'78'!AE11+КТЛ!AE11+'83'!AE11+'3'!AE12+'110'!AE11+'116'!AE11+'117'!AE11+'1'!AE12+'2'!AE12</f>
        <v>0</v>
      </c>
      <c r="AF11" s="24">
        <f>'27'!AF11+'37'!AF11+'38'!AF11+'40'!AF11+'42'!AF11+'45'!AF11+'48'!AF11+'50'!AF11+'55'!AF11+'61'!AF11+'76'!AF11+'КЛ 77'!AF11+'78'!AF11+КТЛ!AF11+'83'!AF11+'3'!AF12+'110'!AF11+'116'!AF11+'117'!AF11+'1'!AF12+'2'!AF12</f>
        <v>0</v>
      </c>
      <c r="AG11" s="24">
        <f>'27'!AG11+'37'!AG11+'38'!AG11+'40'!AG11+'42'!AG11+'45'!AG11+'48'!AG11+'50'!AG11+'55'!AG11+'61'!AG11+'76'!AG11+'КЛ 77'!AG11+'78'!AG11+КТЛ!AG11+'83'!AG11+'3'!AG12+'110'!AG11+'116'!AG11+'117'!AG11+'1'!AG12+'2'!AG12</f>
        <v>0</v>
      </c>
      <c r="AH11" s="24">
        <f>'27'!AH11+'37'!AH11+'38'!AH11+'40'!AH11+'42'!AH11+'45'!AH11+'48'!AH11+'50'!AH11+'55'!AH11+'61'!AH11+'76'!AH11+'КЛ 77'!AH11+'78'!AH11+КТЛ!AH11+'83'!AH11+'3'!AH12+'110'!AH11+'116'!AH11+'117'!AH11+'1'!AH12+'2'!AH12</f>
        <v>0</v>
      </c>
      <c r="AI11" s="24">
        <f>'27'!AI11+'37'!AI11+'38'!AI11+'40'!AI11+'42'!AI11+'45'!AI11+'48'!AI11+'50'!AI11+'55'!AI11+'61'!AI11+'76'!AI11+'КЛ 77'!AI11+'78'!AI11+КТЛ!AI11+'83'!AI11+'3'!AI12+'110'!AI11+'116'!AI11+'117'!AI11+'1'!AI12+'2'!AI12</f>
        <v>0</v>
      </c>
      <c r="AJ11" s="24">
        <f>'27'!AJ11+'37'!AJ11+'38'!AJ11+'40'!AJ11+'42'!AJ11+'45'!AJ11+'48'!AJ11+'50'!AJ11+'55'!AJ11+'61'!AJ11+'76'!AJ11+'КЛ 77'!AJ11+'78'!AJ11+КТЛ!AJ11+'83'!AJ11+'3'!AJ12+'110'!AJ11+'116'!AJ11+'117'!AJ11+'1'!AJ12+'2'!AJ12</f>
        <v>0</v>
      </c>
      <c r="AK11" s="24">
        <f>'27'!AK11+'37'!AK11+'38'!AK11+'40'!AK11+'42'!AK11+'45'!AK11+'48'!AK11+'50'!AK11+'55'!AK11+'61'!AK11+'76'!AK11+'КЛ 77'!AK11+'78'!AK11+КТЛ!AK11+'83'!AK11+'3'!AK12+'110'!AK11+'116'!AK11+'117'!AK11+'1'!AK12+'2'!AK12</f>
        <v>0</v>
      </c>
      <c r="AL11" s="24">
        <f>'27'!AL11+'37'!AL11+'38'!AL11+'40'!AL11+'42'!AL11+'45'!AL11+'48'!AL11+'50'!AL11+'55'!AL11+'61'!AL11+'76'!AL11+'КЛ 77'!AL11+'78'!AL11+КТЛ!AL11+'83'!AL11+'3'!AL12+'110'!AL11+'116'!AL11+'117'!AL11+'1'!AL12+'2'!AL12</f>
        <v>0</v>
      </c>
      <c r="AM11" s="26">
        <f>'27'!AM11+'37'!AM11+'38'!AM11+'40'!AM11+'42'!AM11+'45'!AM11+'48'!AM11+'50'!AM11+'55'!AM11+'61'!AM11+'76'!AM11+'КЛ 77'!AM11+'78'!AM11+КТЛ!AM11+'83'!AM11+'3'!AM12+'110'!AM11+'116'!AM11+'117'!AM11+'1'!AM12+'2'!AM12</f>
        <v>0</v>
      </c>
      <c r="AN11" s="26">
        <f>'27'!AN11+'37'!AN11+'38'!AN11+'40'!AN11+'42'!AN11+'45'!AN11+'48'!AN11+'50'!AN11+'55'!AN11+'61'!AN11+'76'!AN11+'КЛ 77'!AN11+'78'!AN11+КТЛ!AN11+'83'!AN11+'3'!AN12+'110'!AN11+'116'!AN11+'117'!AN11+'1'!AN12+'2'!AN12</f>
        <v>83935.97</v>
      </c>
      <c r="AO11" s="42">
        <f>'27'!AO11+'37'!AO11+'38'!AO11+'40'!AO11+'42'!AO11+'45'!AO11+'48'!AO11+'50'!AO11+'55'!AO11+'61'!AO11+'76'!AO11+'КЛ 77'!AO11+'78'!AO11+КТЛ!AO11+'83'!AO11+'3'!AO12+'110'!AO11+'116'!AO11+'117'!AO11+'1'!AO12+'2'!AO12</f>
        <v>83935.97</v>
      </c>
      <c r="AP11" s="39"/>
      <c r="AQ11" s="28">
        <v>2210</v>
      </c>
      <c r="AR11" s="29"/>
    </row>
    <row r="12" spans="1:44" s="28" customFormat="1" ht="20.100000000000001" customHeight="1">
      <c r="A12" s="23">
        <v>2220</v>
      </c>
      <c r="B12" s="23" t="s">
        <v>3</v>
      </c>
      <c r="C12" s="24">
        <f>'27'!C12+'37'!C12+'38'!C12+'40'!C12+'42'!C12+'45'!C12+'48'!C12+'50'!C12+'55'!C12+'61'!C12+'76'!C12+'КЛ 77'!C12+'78'!C12+КТЛ!C12+'83'!C12+'3'!C13+'110'!C12+'116'!C12+'117'!C12+'1'!C13+'2'!C13</f>
        <v>0</v>
      </c>
      <c r="D12" s="24">
        <f>'27'!D12+'37'!D12+'38'!D12+'40'!D12+'42'!D12+'45'!D12+'48'!D12+'50'!D12+'55'!D12+'61'!D12+'76'!D12+'КЛ 77'!D12+'78'!D12+КТЛ!D12+'83'!D12+'3'!D13+'110'!D12+'116'!D12+'117'!D12+'1'!D13+'2'!D13</f>
        <v>12030.58</v>
      </c>
      <c r="E12" s="24">
        <f t="shared" si="0"/>
        <v>12030.58</v>
      </c>
      <c r="F12" s="24">
        <f>'27'!F12+'37'!F12+'38'!F12+'40'!F12+'42'!F12+'45'!F12+'48'!F12+'50'!F12+'55'!F12+'61'!F12+'76'!F12+'КЛ 77'!F12+'78'!F12+КТЛ!F12+'83'!F12+'3'!F13+'110'!F12+'116'!F12+'117'!F12+'1'!F13+'2'!F13</f>
        <v>0</v>
      </c>
      <c r="G12" s="24">
        <f>'27'!G12+'37'!G12+'38'!G12+'40'!G12+'42'!G12+'45'!G12+'48'!G12+'50'!G12+'55'!G12+'61'!G12+'76'!G12+'КЛ 77'!G12+'78'!G12+КТЛ!G12+'83'!G12+'3'!G13+'110'!G12+'116'!G12+'117'!G12+'1'!G13+'2'!G13</f>
        <v>12630.369999999999</v>
      </c>
      <c r="H12" s="24">
        <f>'27'!H12+'37'!H12+'38'!H12+'40'!H12+'42'!H12+'45'!H12+'48'!H12+'50'!H12+'55'!H12+'61'!H12+'76'!H12+'КЛ 77'!H12+'78'!H12+КТЛ!H12+'83'!H12+'3'!H13+'110'!H12+'116'!H12+'117'!H12+'1'!H13+'2'!H13</f>
        <v>12630.369999999999</v>
      </c>
      <c r="I12" s="24">
        <f>'27'!I12+'37'!I12+'38'!I12+'40'!I12+'42'!I12+'45'!I12+'48'!I12+'50'!I12+'55'!I12+'61'!I12+'76'!I12+'КЛ 77'!I12+'78'!I12+КТЛ!I12+'83'!I12+'3'!I13+'110'!I12+'116'!I12+'117'!I12+'1'!I13+'2'!I13</f>
        <v>0</v>
      </c>
      <c r="J12" s="24">
        <f>'27'!J12+'37'!J12+'38'!J12+'40'!J12+'42'!J12+'45'!J12+'48'!J12+'50'!J12+'55'!J12+'61'!J12+'76'!J12+'КЛ 77'!J12+'78'!J12+КТЛ!J12+'83'!J12+'3'!J13+'110'!J12+'116'!J12+'117'!J12+'1'!J13+'2'!J13</f>
        <v>18128.25</v>
      </c>
      <c r="K12" s="24">
        <f>'27'!K12+'37'!K12+'38'!K12+'40'!K12+'42'!K12+'45'!K12+'48'!K12+'50'!K12+'55'!K12+'61'!K12+'76'!K12+'КЛ 77'!K12+'78'!K12+КТЛ!K12+'83'!K12+'3'!K13+'110'!K12+'116'!K12+'117'!K12+'1'!K13+'2'!K13</f>
        <v>18128.25</v>
      </c>
      <c r="L12" s="24">
        <f>'27'!L12+'37'!L12+'38'!L12+'40'!L12+'42'!L12+'45'!L12+'48'!L12+'50'!L12+'55'!L12+'61'!L12+'76'!L12+'КЛ 77'!L12+'78'!L12+КТЛ!L12+'83'!L12+'3'!L13+'110'!L12+'116'!L12+'117'!L12+'1'!L13+'2'!L13</f>
        <v>0</v>
      </c>
      <c r="M12" s="24">
        <f>'27'!M12+'37'!M12+'38'!M12+'40'!M12+'42'!M12+'45'!M12+'48'!M12+'50'!M12+'55'!M12+'61'!M12+'76'!M12+'КЛ 77'!M12+'78'!M12+КТЛ!M12+'83'!M12+'3'!M13+'110'!M12+'116'!M12+'117'!M12+'1'!M13+'2'!M13</f>
        <v>17672.349999999999</v>
      </c>
      <c r="N12" s="24">
        <f>'27'!N12+'37'!N12+'38'!N12+'40'!N12+'42'!N12+'45'!N12+'48'!N12+'50'!N12+'55'!N12+'61'!N12+'76'!N12+'КЛ 77'!N12+'78'!N12+КТЛ!N12+'83'!N12+'3'!N13+'110'!N12+'116'!N12+'117'!N12+'1'!N13+'2'!N13</f>
        <v>17672.349999999999</v>
      </c>
      <c r="O12" s="24">
        <f>'27'!O12+'37'!O12+'38'!O12+'40'!O12+'42'!O12+'45'!O12+'48'!O12+'50'!O12+'55'!O12+'61'!O12+'76'!O12+'КЛ 77'!O12+'78'!O12+КТЛ!O12+'83'!O12+'3'!O13+'110'!O12+'116'!O12+'117'!O12+'1'!O13+'2'!O13</f>
        <v>0</v>
      </c>
      <c r="P12" s="24">
        <f>'27'!P12+'37'!P12+'38'!P12+'40'!P12+'42'!P12+'45'!P12+'48'!P12+'50'!P12+'55'!P12+'61'!P12+'76'!P12+'КЛ 77'!P12+'78'!P12+КТЛ!P12+'83'!P12+'3'!P13+'110'!P12+'116'!P12+'117'!P12+'1'!P13+'2'!P13</f>
        <v>17171.46</v>
      </c>
      <c r="Q12" s="24">
        <f>'27'!Q12+'37'!Q12+'38'!Q12+'40'!Q12+'42'!Q12+'45'!Q12+'48'!Q12+'50'!Q12+'55'!Q12+'61'!Q12+'76'!Q12+'КЛ 77'!Q12+'78'!Q12+КТЛ!Q12+'83'!Q12+'3'!Q13+'110'!Q12+'116'!Q12+'117'!Q12+'1'!Q13+'2'!Q13</f>
        <v>17171.46</v>
      </c>
      <c r="R12" s="24">
        <f>'27'!R12+'37'!R12+'38'!R12+'40'!R12+'42'!R12+'45'!R12+'48'!R12+'50'!R12+'55'!R12+'61'!R12+'76'!R12+'КЛ 77'!R12+'78'!R12+КТЛ!R12+'83'!R12+'3'!R13+'110'!R12+'116'!R12+'117'!R12+'1'!R13+'2'!R13</f>
        <v>0</v>
      </c>
      <c r="S12" s="24">
        <f>'27'!S12+'37'!S12+'38'!S12+'40'!S12+'42'!S12+'45'!S12+'48'!S12+'50'!S12+'55'!S12+'61'!S12+'76'!S12+'КЛ 77'!S12+'78'!S12+КТЛ!S12+'83'!S12+'3'!S13+'110'!S12+'116'!S12+'117'!S12+'1'!S13+'2'!S13</f>
        <v>5608.67</v>
      </c>
      <c r="T12" s="24">
        <f>'27'!T12+'37'!T12+'38'!T12+'40'!T12+'42'!T12+'45'!T12+'48'!T12+'50'!T12+'55'!T12+'61'!T12+'76'!T12+'КЛ 77'!T12+'78'!T12+КТЛ!T12+'83'!T12+'3'!T13+'110'!T12+'116'!T12+'117'!T12+'1'!T13+'2'!T13</f>
        <v>5608.67</v>
      </c>
      <c r="U12" s="24">
        <f>'27'!U12+'37'!U12+'38'!U12+'40'!U12+'42'!U12+'45'!U12+'48'!U12+'50'!U12+'55'!U12+'61'!U12+'76'!U12+'КЛ 77'!U12+'78'!U12+КТЛ!U12+'83'!U12+'3'!U13+'110'!U12+'116'!U12+'117'!U12+'1'!U13+'2'!U13</f>
        <v>0</v>
      </c>
      <c r="V12" s="24">
        <f>'27'!V12+'37'!V12+'38'!V12+'40'!V12+'42'!V12+'45'!V12+'48'!V12+'50'!V12+'55'!V12+'61'!V12+'76'!V12+'КЛ 77'!V12+'78'!V12+КТЛ!V12+'83'!V12+'3'!V13+'110'!V12+'116'!V12+'117'!V12+'1'!V13+'2'!V13</f>
        <v>1136.08</v>
      </c>
      <c r="W12" s="24">
        <f>'27'!W12+'37'!W12+'38'!W12+'40'!W12+'42'!W12+'45'!W12+'48'!W12+'50'!W12+'55'!W12+'61'!W12+'76'!W12+'КЛ 77'!W12+'78'!W12+КТЛ!W12+'83'!W12+'3'!W13+'110'!W12+'116'!W12+'117'!W12+'1'!W13+'2'!W13</f>
        <v>1136.08</v>
      </c>
      <c r="X12" s="24">
        <f>'27'!X12+'37'!X12+'38'!X12+'40'!X12+'42'!X12+'45'!X12+'48'!X12+'50'!X12+'55'!X12+'61'!X12+'76'!X12+'КЛ 77'!X12+'78'!X12+КТЛ!X12+'83'!X12+'3'!X13+'110'!X12+'116'!X12+'117'!X12+'1'!X13+'2'!X13</f>
        <v>0</v>
      </c>
      <c r="Y12" s="24">
        <f>'27'!Y12+'37'!Y12+'38'!Y12+'40'!Y12+'42'!Y12+'45'!Y12+'48'!Y12+'50'!Y12+'55'!Y12+'61'!Y12+'76'!Y12+'КЛ 77'!Y12+'78'!Y12+КТЛ!Y12+'83'!Y12+'3'!Y13+'110'!Y12+'116'!Y12+'117'!Y12+'1'!Y13+'2'!Y13</f>
        <v>5337.2</v>
      </c>
      <c r="Z12" s="25">
        <f>'27'!Z12+'37'!Z12+'38'!Z12+'40'!Z12+'42'!Z12+'45'!Z12+'48'!Z12+'50'!Z12+'55'!Z12+'61'!Z12+'76'!Z12+'КЛ 77'!Z12+'78'!Z12+КТЛ!Z12+'83'!Z12+'3'!Z13+'110'!Z12+'116'!Z12+'117'!Z12+'1'!Z13+'2'!Z13</f>
        <v>5337.2</v>
      </c>
      <c r="AA12" s="24">
        <f>'27'!AA12+'37'!AA12+'38'!AA12+'40'!AA12+'42'!AA12+'45'!AA12+'48'!AA12+'50'!AA12+'55'!AA12+'61'!AA12+'76'!AA12+'КЛ 77'!AA12+'78'!AA12+КТЛ!AA12+'83'!AA12+'3'!AA13+'110'!AA12+'116'!AA12+'117'!AA12+'1'!AA13+'2'!AA13</f>
        <v>0</v>
      </c>
      <c r="AB12" s="24">
        <f>'27'!AB12+'37'!AB12+'38'!AB12+'40'!AB12+'42'!AB12+'45'!AB12+'48'!AB12+'50'!AB12+'55'!AB12+'61'!AB12+'76'!AB12+'КЛ 77'!AB12+'78'!AB12+КТЛ!AB12+'83'!AB12+'3'!AB13+'110'!AB12+'116'!AB12+'117'!AB12+'1'!AB13+'2'!AB13</f>
        <v>15775.179999999998</v>
      </c>
      <c r="AC12" s="24">
        <f>'27'!AC12+'37'!AC12+'38'!AC12+'40'!AC12+'42'!AC12+'45'!AC12+'48'!AC12+'50'!AC12+'55'!AC12+'61'!AC12+'76'!AC12+'КЛ 77'!AC12+'78'!AC12+КТЛ!AC12+'83'!AC12+'3'!AC13+'110'!AC12+'116'!AC12+'117'!AC12+'1'!AC13+'2'!AC13</f>
        <v>15775.179999999998</v>
      </c>
      <c r="AD12" s="24">
        <f>'27'!AD12+'37'!AD12+'38'!AD12+'40'!AD12+'42'!AD12+'45'!AD12+'48'!AD12+'50'!AD12+'55'!AD12+'61'!AD12+'76'!AD12+'КЛ 77'!AD12+'78'!AD12+КТЛ!AD12+'83'!AD12+'3'!AD13+'110'!AD12+'116'!AD12+'117'!AD12+'1'!AD13+'2'!AD13</f>
        <v>0</v>
      </c>
      <c r="AE12" s="24">
        <f>'27'!AE12+'37'!AE12+'38'!AE12+'40'!AE12+'42'!AE12+'45'!AE12+'48'!AE12+'50'!AE12+'55'!AE12+'61'!AE12+'76'!AE12+'КЛ 77'!AE12+'78'!AE12+КТЛ!AE12+'83'!AE12+'3'!AE13+'110'!AE12+'116'!AE12+'117'!AE12+'1'!AE13+'2'!AE13</f>
        <v>0</v>
      </c>
      <c r="AF12" s="24">
        <f>'27'!AF12+'37'!AF12+'38'!AF12+'40'!AF12+'42'!AF12+'45'!AF12+'48'!AF12+'50'!AF12+'55'!AF12+'61'!AF12+'76'!AF12+'КЛ 77'!AF12+'78'!AF12+КТЛ!AF12+'83'!AF12+'3'!AF13+'110'!AF12+'116'!AF12+'117'!AF12+'1'!AF13+'2'!AF13</f>
        <v>0</v>
      </c>
      <c r="AG12" s="24">
        <f>'27'!AG12+'37'!AG12+'38'!AG12+'40'!AG12+'42'!AG12+'45'!AG12+'48'!AG12+'50'!AG12+'55'!AG12+'61'!AG12+'76'!AG12+'КЛ 77'!AG12+'78'!AG12+КТЛ!AG12+'83'!AG12+'3'!AG13+'110'!AG12+'116'!AG12+'117'!AG12+'1'!AG13+'2'!AG13</f>
        <v>0</v>
      </c>
      <c r="AH12" s="24">
        <f>'27'!AH12+'37'!AH12+'38'!AH12+'40'!AH12+'42'!AH12+'45'!AH12+'48'!AH12+'50'!AH12+'55'!AH12+AK4+'76'!AH12+'КЛ 77'!AH12+'78'!AH12+КТЛ!AH12+'83'!AH12+'3'!AH13+'110'!AH12+'116'!AH12+'117'!AH12+'1'!AH13+'2'!AH13</f>
        <v>0</v>
      </c>
      <c r="AI12" s="24">
        <f>'27'!AI12+'37'!AI12+'38'!AI12+'40'!AI12+'42'!AI12+'45'!AI12+'48'!AI12+'50'!AI12+'55'!AI12+'61'!AI12+'76'!AI12+'КЛ 77'!AI12+'78'!AI12+КТЛ!AI12+'83'!AI12+'3'!AI13+'110'!AI12+'116'!AI12+'117'!AI12+'1'!AI13+'2'!AI13</f>
        <v>0</v>
      </c>
      <c r="AJ12" s="24">
        <f>'27'!AJ12+'37'!AJ12+'38'!AJ12+'40'!AJ12+'42'!AJ12+'45'!AJ12+'48'!AJ12+'50'!AJ12+'55'!AJ12+'61'!AJ12+'76'!AJ12+'КЛ 77'!AJ12+'78'!AJ12+КТЛ!AJ12+'83'!AJ12+'3'!AJ13+'110'!AJ12+'116'!AJ12+'117'!AJ12+'1'!AJ13+'2'!AJ13</f>
        <v>0</v>
      </c>
      <c r="AK12" s="24">
        <f>'27'!AK12+'37'!AK12+'38'!AK12+'40'!AK12+'42'!AK12+'45'!AK12+'48'!AK12+'50'!AK12+'55'!AK12+'61'!AK12+'76'!AK12+'КЛ 77'!AK12+'78'!AK12+КТЛ!AK12+'83'!AK12+'3'!AK13+'110'!AK12+'116'!AK12+'117'!AK12+'1'!AK13+'2'!AK13</f>
        <v>0</v>
      </c>
      <c r="AL12" s="24">
        <f>'27'!AL12+'37'!AL12+'38'!AL12+'40'!AL12+'42'!AL12+'45'!AL12+'48'!AL12+'50'!AL12+'55'!AL12+'61'!AL12+'76'!AL12+'КЛ 77'!AL12+'78'!AL12+КТЛ!AL12+'83'!AL12+'3'!AL13+'110'!AL12+'116'!AL12+'117'!AL12+'1'!AL13+'2'!AL13</f>
        <v>0</v>
      </c>
      <c r="AM12" s="26">
        <f>'27'!AM12+'37'!AM12+'38'!AM12+'40'!AM12+'42'!AM12+'45'!AM12+'48'!AM12+'50'!AM12+'55'!AM12+'61'!AM12+'76'!AM12+'КЛ 77'!AM12+'78'!AM12+КТЛ!AM12+'83'!AM12+'3'!AM13+'110'!AM12+'116'!AM12+'117'!AM12+'1'!AM13+'2'!AM13</f>
        <v>0</v>
      </c>
      <c r="AN12" s="26">
        <f>'27'!AN12+'37'!AN12+'38'!AN12+'40'!AN12+'42'!AN12+'45'!AN12+'48'!AN12+'50'!AN12+'55'!AN12+'61'!AN12+'76'!AN12+'КЛ 77'!AN12+'78'!AN12+КТЛ!AN12+'83'!AN12+'3'!AN13+'110'!AN12+'116'!AN12+'117'!AN12+'1'!AN13+'2'!AN13</f>
        <v>105490.14000000001</v>
      </c>
      <c r="AO12" s="42">
        <f>'27'!AO12+'37'!AO12+'38'!AO12+'40'!AO12+'42'!AO12+'45'!AO12+'48'!AO12+'50'!AO12+'55'!AO12+'61'!AO12+'76'!AO12+'КЛ 77'!AO12+'78'!AO12+КТЛ!AO12+'83'!AO12+'3'!AO13+'110'!AO12+'116'!AO12+'117'!AO12+'1'!AO13+'2'!AO13</f>
        <v>105490.14000000001</v>
      </c>
      <c r="AP12" s="39"/>
      <c r="AQ12" s="28">
        <v>2220</v>
      </c>
      <c r="AR12" s="29"/>
    </row>
    <row r="13" spans="1:44" s="28" customFormat="1" ht="20.100000000000001" customHeight="1">
      <c r="A13" s="23">
        <v>2230</v>
      </c>
      <c r="B13" s="23" t="s">
        <v>4</v>
      </c>
      <c r="C13" s="24">
        <f>'27'!C13+'37'!C13+'38'!C13+'40'!C13+'42'!C13+'45'!C13+'48'!C13+'50'!C13+'55'!C13+'61'!C13+'76'!C13+'КЛ 77'!C13+'78'!C13+КТЛ!C13+'83'!C13+'3'!C14+'110'!C13+'116'!C13+'117'!C13+'1'!C14+'2'!C14</f>
        <v>0</v>
      </c>
      <c r="D13" s="24">
        <f>'27'!D13+'37'!D13+'38'!D13+'40'!D13+'42'!D13+'45'!D13+'48'!D13+'50'!D13+'55'!D13+'61'!D13+'76'!D13+'КЛ 77'!D13+'78'!D13+КТЛ!D13+'83'!D13+'3'!D14+'110'!D13+'116'!D13+'117'!D13+'1'!D14+'2'!D14</f>
        <v>134210.01</v>
      </c>
      <c r="E13" s="24">
        <f t="shared" si="0"/>
        <v>134210.01</v>
      </c>
      <c r="F13" s="24">
        <f>'27'!F13+'37'!F13+'38'!F13+'40'!F13+'42'!F13+'45'!F13+'48'!F13+'50'!F13+'55'!F13+'61'!F13+'76'!F13+'КЛ 77'!F13+'78'!F13+КТЛ!F13+'83'!F13+'3'!F14+'110'!F13+'116'!F13+'117'!F13+'1'!F14+'2'!F14</f>
        <v>0</v>
      </c>
      <c r="G13" s="24">
        <f>'27'!G13+'37'!G13+'38'!G13+'40'!G13+'42'!G13+'45'!G13+'48'!G13+'50'!G13+'55'!G13+'61'!G13+'76'!G13+'КЛ 77'!G13+'78'!G13+КТЛ!G13+'83'!G13+'3'!G14+'110'!G13+'116'!G13+'117'!G13+'1'!G14+'2'!G14</f>
        <v>180702.91</v>
      </c>
      <c r="H13" s="24">
        <f>'27'!H13+'37'!H13+'38'!H13+'40'!H13+'42'!H13+'45'!H13+'48'!H13+'50'!H13+'55'!H13+'61'!H13+'76'!H13+'КЛ 77'!H13+'78'!H13+КТЛ!H13+'83'!H13+'3'!H14+'110'!H13+'116'!H13+'117'!H13+'1'!H14+'2'!H14</f>
        <v>180702.91</v>
      </c>
      <c r="I13" s="24">
        <f>'27'!I13+'37'!I13+'38'!I13+'40'!I13+'42'!I13+'45'!I13+'48'!I13+'50'!I13+'55'!I13+'61'!I13+'76'!I13+'КЛ 77'!I13+'78'!I13+КТЛ!I13+'83'!I13+'3'!I14+'110'!I13+'116'!I13+'117'!I13+'1'!I14+'2'!I14</f>
        <v>0</v>
      </c>
      <c r="J13" s="24">
        <f>'27'!J13+'37'!J13+'38'!J13+'40'!J13+'42'!J13+'45'!J13+'48'!J13+'50'!J13+'55'!J13+'61'!J13+'76'!J13+'КЛ 77'!J13+'78'!J13+КТЛ!J13+'83'!J13+'3'!J14+'110'!J13+'116'!J13+'117'!J13+'1'!J14+'2'!J14</f>
        <v>178871.69999999998</v>
      </c>
      <c r="K13" s="24">
        <f>'27'!K13+'37'!K13+'38'!K13+'40'!K13+'42'!K13+'45'!K13+'48'!K13+'50'!K13+'55'!K13+'61'!K13+'76'!K13+'КЛ 77'!K13+'78'!K13+КТЛ!K13+'83'!K13+'3'!K14+'110'!K13+'116'!K13+'117'!K13+'1'!K14+'2'!K14</f>
        <v>178871.69999999998</v>
      </c>
      <c r="L13" s="24">
        <f>'27'!L13+'37'!L13+'38'!L13+'40'!L13+'42'!L13+'45'!L13+'48'!L13+'50'!L13+'55'!L13+'61'!L13+'76'!L13+'КЛ 77'!L13+'78'!L13+КТЛ!L13+'83'!L13+'3'!L14+'110'!L13+'116'!L13+'117'!L13+'1'!L14+'2'!L14</f>
        <v>0</v>
      </c>
      <c r="M13" s="24">
        <f>'27'!M13+'37'!M13+'38'!M13+'40'!M13+'42'!M13+'45'!M13+'48'!M13+'50'!M13+'55'!M13+'61'!M13+'76'!M13+'КЛ 77'!M13+'78'!M13+КТЛ!M13+'83'!M13+'3'!M14+'110'!M13+'116'!M13+'117'!M13+'1'!M14+'2'!M14</f>
        <v>255182.04</v>
      </c>
      <c r="N13" s="24">
        <f>'27'!N13+'37'!N13+'38'!N13+'40'!N13+'42'!N13+'45'!N13+'48'!N13+'50'!N13+'55'!N13+'61'!N13+'76'!N13+'КЛ 77'!N13+'78'!N13+КТЛ!N13+'83'!N13+'3'!N14+'110'!N13+'116'!N13+'117'!N13+'1'!N14+'2'!N14</f>
        <v>255182.04</v>
      </c>
      <c r="O13" s="24">
        <f>'27'!O13+'37'!O13+'38'!O13+'40'!O13+'42'!O13+'45'!O13+'48'!O13+'50'!O13+'55'!O13+'61'!O13+'76'!O13+'КЛ 77'!O13+'78'!O13+КТЛ!O13+'83'!O13+'3'!O14+'110'!O13+'116'!O13+'117'!O13+'1'!O14+'2'!O14</f>
        <v>0</v>
      </c>
      <c r="P13" s="24">
        <f>'27'!P13+'37'!P13+'38'!P13+'40'!P13+'42'!P13+'45'!P13+'48'!P13+'50'!P13+'55'!P13+'61'!P13+'76'!P13+'КЛ 77'!P13+'78'!P13+КТЛ!P13+'83'!P13+'3'!P14+'110'!P13+'116'!P13+'117'!P13+'1'!P14+'2'!P14</f>
        <v>243378.1</v>
      </c>
      <c r="Q13" s="24">
        <f>'27'!Q13+'37'!Q13+'38'!Q13+'40'!Q13+'42'!Q13+'45'!Q13+'48'!Q13+'50'!Q13+'55'!Q13+'61'!Q13+'76'!Q13+'КЛ 77'!Q13+'78'!Q13+КТЛ!Q13+'83'!Q13+'3'!Q14+'110'!Q13+'116'!Q13+'117'!Q13+'1'!Q14+'2'!Q14</f>
        <v>243378.1</v>
      </c>
      <c r="R13" s="24">
        <f>'27'!R13+'37'!R13+'38'!R13+'40'!R13+'42'!R13+'45'!R13+'48'!R13+'50'!R13+'55'!R13+'61'!R13+'76'!R13+'КЛ 77'!R13+'78'!R13+КТЛ!R13+'83'!R13+'3'!R14+'110'!R13+'116'!R13+'117'!R13+'1'!R14+'2'!R14</f>
        <v>0</v>
      </c>
      <c r="S13" s="24">
        <f>'27'!S13+'37'!S13+'38'!S13+'40'!S13+'42'!S13+'45'!S13+'48'!S13+'50'!S13+'55'!S13+'61'!S13+'76'!S13+'КЛ 77'!S13+'78'!S13+КТЛ!S13+'83'!S13+'3'!S14+'110'!S13+'116'!S13+'117'!S13+'1'!S14+'2'!S14</f>
        <v>9525.83</v>
      </c>
      <c r="T13" s="24">
        <f>'27'!T13+'37'!T13+'38'!T13+'40'!T13+'42'!T13+'45'!T13+'48'!T13+'50'!T13+'55'!T13+'61'!T13+'76'!T13+'КЛ 77'!T13+'78'!T13+КТЛ!T13+'83'!T13+'3'!T14+'110'!T13+'116'!T13+'117'!T13+'1'!T14+'2'!T14</f>
        <v>9525.83</v>
      </c>
      <c r="U13" s="24">
        <f>'27'!U13+'37'!U13+'38'!U13+'40'!U13+'42'!U13+'45'!U13+'48'!U13+'50'!U13+'55'!U13+'61'!U13+'76'!U13+'КЛ 77'!U13+'78'!U13+КТЛ!U13+'83'!U13+'3'!U14+'110'!U13+'116'!U13+'117'!U13+'1'!U14+'2'!U14</f>
        <v>0</v>
      </c>
      <c r="V13" s="24">
        <f>'27'!V13+'37'!V13+'38'!V13+'40'!V13+'42'!V13+'45'!V13+'48'!V13+'50'!V13+'55'!V13+'61'!V13+'76'!V13+'КЛ 77'!V13+'78'!V13+КТЛ!V13+'83'!V13+'3'!V14+'110'!V13+'116'!V13+'117'!V13+'1'!V14+'2'!V14</f>
        <v>9499.0300000000007</v>
      </c>
      <c r="W13" s="24">
        <f>'27'!W13+'37'!W13+'38'!W13+'40'!W13+'42'!W13+'45'!W13+'48'!W13+'50'!W13+'55'!W13+'61'!W13+'76'!W13+'КЛ 77'!W13+'78'!W13+КТЛ!W13+'83'!W13+'3'!W14+'110'!W13+'116'!W13+'117'!W13+'1'!W14+'2'!W14</f>
        <v>9499.0300000000007</v>
      </c>
      <c r="X13" s="24">
        <f>'27'!X13+'37'!X13+'38'!X13+'40'!X13+'42'!X13+'45'!X13+'48'!X13+'50'!X13+'55'!X13+'61'!X13+'76'!X13+'КЛ 77'!X13+'78'!X13+КТЛ!X13+'83'!X13+'3'!X14+'110'!X13+'116'!X13+'117'!X13+'1'!X14+'2'!X14</f>
        <v>0</v>
      </c>
      <c r="Y13" s="24">
        <f>'27'!Y13+'37'!Y13+'38'!Y13+'40'!Y13+'42'!Y13+'45'!Y13+'48'!Y13+'50'!Y13+'55'!Y13+'61'!Y13+'76'!Y13+'КЛ 77'!Y13+'78'!Y13+КТЛ!Y13+'83'!Y13+'3'!Y14+'110'!Y13+'116'!Y13+'117'!Y13+'1'!Y14+'2'!Y14</f>
        <v>8285.07</v>
      </c>
      <c r="Z13" s="25">
        <f>'27'!Z13+'37'!Z13+'38'!Z13+'40'!Z13+'42'!Z13+'45'!Z13+'48'!Z13+'50'!Z13+'55'!Z13+'61'!Z13+'76'!Z13+'КЛ 77'!Z13+'78'!Z13+КТЛ!Z13+'83'!Z13+'3'!Z14+'110'!Z13+'116'!Z13+'117'!Z13+'1'!Z14+'2'!Z14</f>
        <v>8285.07</v>
      </c>
      <c r="AA13" s="24">
        <f>'27'!AA13+'37'!AA13+'38'!AA13+'40'!AA13+'42'!AA13+'45'!AA13+'48'!AA13+'50'!AA13+'55'!AA13+'61'!AA13+'76'!AA13+'КЛ 77'!AA13+'78'!AA13+КТЛ!AA13+'83'!AA13+'3'!AA14+'110'!AA13+'116'!AA13+'117'!AA13+'1'!AA14+'2'!AA14</f>
        <v>0</v>
      </c>
      <c r="AB13" s="24">
        <f>'27'!AB13+'37'!AB13+'38'!AB13+'40'!AB13+'42'!AB13+'45'!AB13+'48'!AB13+'50'!AB13+'55'!AB13+'61'!AB13+'76'!AB13+'КЛ 77'!AB13+'78'!AB13+КТЛ!AB13+'83'!AB13+'3'!AB14+'110'!AB13+'116'!AB13+'117'!AB13+'1'!AB14+'2'!AB14</f>
        <v>282941.74</v>
      </c>
      <c r="AC13" s="24">
        <f>'27'!AC13+'37'!AC13+'38'!AC13+'40'!AC13+'42'!AC13+'45'!AC13+'48'!AC13+'50'!AC13+'55'!AC13+'61'!AC13+'76'!AC13+'КЛ 77'!AC13+'78'!AC13+КТЛ!AC13+'83'!AC13+'3'!AC14+'110'!AC13+'116'!AC13+'117'!AC13+'1'!AC14+'2'!AC14</f>
        <v>282941.74</v>
      </c>
      <c r="AD13" s="24">
        <f>'27'!AD13+'37'!AD13+'38'!AD13+'40'!AD13+'42'!AD13+'45'!AD13+'48'!AD13+'50'!AD13+'55'!AD13+'61'!AD13+'76'!AD13+'КЛ 77'!AD13+'78'!AD13+КТЛ!AD13+'83'!AD13+'3'!AD14+'110'!AD13+'116'!AD13+'117'!AD13+'1'!AD14+'2'!AD14</f>
        <v>0</v>
      </c>
      <c r="AE13" s="24">
        <f>'27'!AE13+'37'!AE13+'38'!AE13+'40'!AE13+'42'!AE13+'45'!AE13+'48'!AE13+'50'!AE13+'55'!AE13+'61'!AE13+'76'!AE13+'КЛ 77'!AE13+'78'!AE13+КТЛ!AE13+'83'!AE13+'3'!AE14+'110'!AE13+'116'!AE13+'117'!AE13+'1'!AE14+'2'!AE14</f>
        <v>0</v>
      </c>
      <c r="AF13" s="24">
        <f>'27'!AF13+'37'!AF13+'38'!AF13+'40'!AF13+'42'!AF13+'45'!AF13+'48'!AF13+'50'!AF13+'55'!AF13+'61'!AF13+'76'!AF13+'КЛ 77'!AF13+'78'!AF13+КТЛ!AF13+'83'!AF13+'3'!AF14+'110'!AF13+'116'!AF13+'117'!AF13+'1'!AF14+'2'!AF14</f>
        <v>0</v>
      </c>
      <c r="AG13" s="24">
        <f>'27'!AG13+'37'!AG13+'38'!AG13+'40'!AG13+'42'!AG13+'45'!AG13+'48'!AG13+'50'!AG13+'55'!AG13+'61'!AG13+'76'!AG13+'КЛ 77'!AG13+'78'!AG13+КТЛ!AG13+'83'!AG13+'3'!AG14+'110'!AG13+'116'!AG13+'117'!AG13+'1'!AG14+'2'!AG14</f>
        <v>0</v>
      </c>
      <c r="AH13" s="24">
        <f>'27'!AH13+'37'!AH13+'38'!AH13+'40'!AH13+'42'!AH13+'45'!AH13+'48'!AH13+'50'!AH13+'55'!AH13+'61'!AH13+'76'!AH13+'КЛ 77'!AH13+'78'!AH13+КТЛ!AH13+'83'!AH13+'3'!AH14+'110'!AH13+'116'!AH13+'117'!AH13+'1'!AH14+'2'!AH14</f>
        <v>0</v>
      </c>
      <c r="AI13" s="24">
        <f>'27'!AI13+'37'!AI13+'38'!AI13+'40'!AI13+'42'!AI13+'45'!AI13+'48'!AI13+'50'!AI13+'55'!AI13+'61'!AI13+'76'!AI13+'КЛ 77'!AI13+'78'!AI13+КТЛ!AI13+'83'!AI13+'3'!AI14+'110'!AI13+'116'!AI13+'117'!AI13+'1'!AI14+'2'!AI14</f>
        <v>0</v>
      </c>
      <c r="AJ13" s="24">
        <f>'27'!AJ13+'37'!AJ13+'38'!AJ13+'40'!AJ13+'42'!AJ13+'45'!AJ13+'48'!AJ13+'50'!AJ13+'55'!AJ13+'61'!AJ13+'76'!AJ13+'КЛ 77'!AJ13+'78'!AJ13+КТЛ!AJ13+'83'!AJ13+'3'!AJ14+'110'!AJ13+'116'!AJ13+'117'!AJ13+'1'!AJ14+'2'!AJ14</f>
        <v>0</v>
      </c>
      <c r="AK13" s="24">
        <f>'27'!AK13+'37'!AK13+'38'!AK13+'40'!AK13+'42'!AK13+'45'!AK13+'48'!AK13+'50'!AK13+'55'!AK13+'61'!AK13+'76'!AK13+'КЛ 77'!AK13+'78'!AK13+КТЛ!AK13+'83'!AK13+'3'!AK14+'110'!AK13+'116'!AK13+'117'!AK13+'1'!AK14+'2'!AK14</f>
        <v>0</v>
      </c>
      <c r="AL13" s="24">
        <f>'27'!AL13+'37'!AL13+'38'!AL13+'40'!AL13+'42'!AL13+'45'!AL13+'48'!AL13+'50'!AL13+'55'!AL13+'61'!AL13+'76'!AL13+'КЛ 77'!AL13+'78'!AL13+КТЛ!AL13+'83'!AL13+'3'!AL14+'110'!AL13+'116'!AL13+'117'!AL13+'1'!AL14+'2'!AL14</f>
        <v>0</v>
      </c>
      <c r="AM13" s="26">
        <f>'27'!AM13+'37'!AM13+'38'!AM13+'40'!AM13+'42'!AM13+'45'!AM13+'48'!AM13+'50'!AM13+'55'!AM13+'61'!AM13+'76'!AM13+'КЛ 77'!AM13+'78'!AM13+КТЛ!AM13+'83'!AM13+'3'!AM14+'110'!AM13+'116'!AM13+'117'!AM13+'1'!AM14+'2'!AM14</f>
        <v>0</v>
      </c>
      <c r="AN13" s="26">
        <f>'27'!AN13+'37'!AN13+'38'!AN13+'40'!AN13+'42'!AN13+'45'!AN13+'48'!AN13+'50'!AN13+'55'!AN13+'61'!AN13+'76'!AN13+'КЛ 77'!AN13+'78'!AN13+КТЛ!AN13+'83'!AN13+'3'!AN14+'110'!AN13+'116'!AN13+'117'!AN13+'1'!AN14+'2'!AN14</f>
        <v>1302596.4300000002</v>
      </c>
      <c r="AO13" s="42">
        <f>'27'!AO13+'37'!AO13+'38'!AO13+'40'!AO13+'42'!AO13+'45'!AO13+'48'!AO13+'50'!AO13+'55'!AO13+'61'!AO13+'76'!AO13+'КЛ 77'!AO13+'78'!AO13+КТЛ!AO13+'83'!AO13+'3'!AO14+'110'!AO13+'116'!AO13+'117'!AO13+'1'!AO14+'2'!AO14</f>
        <v>1302596.4300000002</v>
      </c>
      <c r="AP13" s="39"/>
      <c r="AQ13" s="28">
        <v>2230</v>
      </c>
    </row>
    <row r="14" spans="1:44" s="28" customFormat="1" ht="20.100000000000001" customHeight="1">
      <c r="A14" s="23">
        <v>2240</v>
      </c>
      <c r="B14" s="23" t="s">
        <v>5</v>
      </c>
      <c r="C14" s="24">
        <f>'27'!C14+'37'!C14+'38'!C14+'40'!C14+'42'!C14+'45'!C14+'48'!C14+'50'!C14+'55'!C14+'61'!C14+'76'!C14+'КЛ 77'!C14+'78'!C14+КТЛ!C14+'83'!C14+'3'!C15+'110'!C14+'116'!C14+'117'!C14+'1'!C15+'2'!C15</f>
        <v>0</v>
      </c>
      <c r="D14" s="24">
        <f>'27'!D14+'37'!D14+'38'!D14+'40'!D14+'42'!D14+'45'!D14+'48'!D14+'50'!D14+'55'!D14+'61'!D14+'76'!D14+'КЛ 77'!D14+'78'!D14+КТЛ!D14+'83'!D14+'3'!D15+'110'!D14+'116'!D14+'117'!D14+'1'!D15+'2'!D15</f>
        <v>0</v>
      </c>
      <c r="E14" s="24">
        <f t="shared" si="0"/>
        <v>0</v>
      </c>
      <c r="F14" s="24">
        <f>'27'!F14+'37'!F14+'38'!F14+'40'!F14+'42'!F14+'45'!F14+'48'!F14+'50'!F14+'55'!F14+'61'!F14+'76'!F14+'КЛ 77'!F14+'78'!F14+КТЛ!F14+'83'!F14+'3'!F15+'110'!F14+'116'!F14+'117'!F14+'1'!F15+'2'!F15</f>
        <v>0</v>
      </c>
      <c r="G14" s="24">
        <f>'27'!G14+'37'!G14+'38'!G14+'40'!G14+'42'!G14+'45'!G14+'48'!G14+'50'!G14+'55'!G14+'61'!G14+'76'!G14+'КЛ 77'!G14+'78'!G14+КТЛ!G14+'83'!G14+'3'!G15+'110'!G14+'116'!G14+'117'!G14+'1'!G15+'2'!G15</f>
        <v>386023.58000000007</v>
      </c>
      <c r="H14" s="24">
        <f>'27'!H14+'37'!H14+'38'!H14+'40'!H14+'42'!H14+'45'!H14+'48'!H14+'50'!H14+'55'!H14+'61'!H14+'76'!H14+'КЛ 77'!H14+'78'!H14+КТЛ!H14+'83'!H14+'3'!H15+'110'!H14+'116'!H14+'117'!H14+'1'!H15+'2'!H15</f>
        <v>386023.58000000007</v>
      </c>
      <c r="I14" s="24">
        <f>'27'!I14+'37'!I14+'38'!I14+'40'!I14+'42'!I14+'45'!I14+'48'!I14+'50'!I14+'55'!I14+'61'!I14+'76'!I14+'КЛ 77'!I14+'78'!I14+КТЛ!I14+'83'!I14+'3'!I15+'110'!I14+'116'!I14+'117'!I14+'1'!I15+'2'!I15</f>
        <v>0</v>
      </c>
      <c r="J14" s="24">
        <f>'27'!J14+'37'!J14+'38'!J14+'40'!J14+'42'!J14+'45'!J14+'48'!J14+'50'!J14+'55'!J14+'61'!J14+'76'!J14+'КЛ 77'!J14+'78'!J14+КТЛ!J14+'83'!J14+'3'!J15+'110'!J14+'116'!J14+'117'!J14+'1'!J15+'2'!J15</f>
        <v>699023.67999999993</v>
      </c>
      <c r="K14" s="24">
        <f>'27'!K14+'37'!K14+'38'!K14+'40'!K14+'42'!K14+'45'!K14+'48'!K14+'50'!K14+'55'!K14+'61'!K14+'76'!K14+'КЛ 77'!K14+'78'!K14+КТЛ!K14+'83'!K14+'3'!K15+'110'!K14+'116'!K14+'117'!K14+'1'!K15+'2'!K15</f>
        <v>699023.67999999993</v>
      </c>
      <c r="L14" s="24">
        <f>'27'!L14+'37'!L14+'38'!L14+'40'!L14+'42'!L14+'45'!L14+'48'!L14+'50'!L14+'55'!L14+'61'!L14+'76'!L14+'КЛ 77'!L14+'78'!L14+КТЛ!L14+'83'!L14+'3'!L15+'110'!L14+'116'!L14+'117'!L14+'1'!L15+'2'!L15</f>
        <v>0</v>
      </c>
      <c r="M14" s="24">
        <f>'27'!M14+'37'!M14+'38'!M14+'40'!M14+'42'!M14+'45'!M14+'48'!M14+'50'!M14+'55'!M14+'61'!M14+'76'!M14+'КЛ 77'!M14+'78'!M14+КТЛ!M14+'83'!M14+'110'!M14+'116'!M14+'117'!M14</f>
        <v>690463.45</v>
      </c>
      <c r="N14" s="24">
        <f>'27'!N14+'37'!N14+'38'!N14+'40'!N14+'42'!N14+'45'!N14+'48'!N14+'50'!N14+'55'!N14+'61'!N14+'76'!N14+'КЛ 77'!N14+'78'!N14+КТЛ!N14+'83'!N14+'3'!N15+'110'!N14+'116'!N14+'117'!N14+'1'!N15+'2'!N15</f>
        <v>690463.45</v>
      </c>
      <c r="O14" s="24">
        <f>'27'!O14+'37'!O14+'38'!O14+'40'!O14+'42'!O14+'45'!O14+'48'!O14+'50'!O14+'55'!O14+'61'!O14+'76'!O14+'КЛ 77'!O14+'78'!O14+КТЛ!O14+'83'!O14+'3'!O15+'110'!O14+'116'!O14+'117'!O14+'1'!O15+'2'!O15</f>
        <v>0</v>
      </c>
      <c r="P14" s="24">
        <f>'27'!P14+'37'!P14+'38'!P14+'40'!P14+'42'!P14+'45'!P14+'48'!P14+'50'!P14+'55'!P14+'61'!P14+'76'!P14+'КЛ 77'!P14+'78'!P14+КТЛ!P14+'83'!P14+'3'!P15+'110'!P14+'116'!P14+'117'!P14+'1'!P15+'2'!P15</f>
        <v>553964.13</v>
      </c>
      <c r="Q14" s="24">
        <f>'27'!Q14+'37'!Q14+'38'!Q14+'40'!Q14+'42'!Q14+'45'!Q14+'48'!Q14+'50'!Q14+'55'!Q14+'61'!Q14+'76'!Q14+'КЛ 77'!Q14+'78'!Q14+КТЛ!Q14+'83'!Q14+'3'!Q15+'110'!Q14+'116'!Q14+'117'!Q14+'1'!Q15+'2'!Q15</f>
        <v>553964.13</v>
      </c>
      <c r="R14" s="24">
        <f>'27'!R14+'37'!R14+'38'!R14+'40'!R14+'42'!R14+'45'!R14+'48'!R14+'50'!R14+'55'!R14+'61'!R14+'76'!R14+'КЛ 77'!R14+'78'!R14+КТЛ!R14+'83'!R14+'3'!R15+'110'!R14+'116'!R14+'117'!R14+'1'!R15+'2'!R15</f>
        <v>0</v>
      </c>
      <c r="S14" s="24">
        <f>'27'!S14+'37'!S14+'38'!S14+'40'!S14+'42'!S14+'45'!S14+'48'!S14+'50'!S14+'55'!S14+'61'!S14+'76'!S14+'КЛ 77'!S14+'78'!S14+КТЛ!S14+'83'!S14+'3'!S15+'110'!S14+'116'!S14+'117'!S14+'1'!S15+'2'!S15</f>
        <v>542393.04999999993</v>
      </c>
      <c r="T14" s="24">
        <f>'27'!T14+'37'!T14+'38'!T14+'40'!T14+'42'!T14+'45'!T14+'48'!T14+'50'!T14+'55'!T14+'61'!T14+'76'!T14+'КЛ 77'!T14+'78'!T14+КТЛ!T14+'83'!T14+'3'!T15+'110'!T14+'116'!T14+'117'!T14+'1'!T15+'2'!T15</f>
        <v>542393.04999999993</v>
      </c>
      <c r="U14" s="24">
        <f>'27'!U14+'37'!U14+'38'!U14+'40'!U14+'42'!U14+'45'!U14+'48'!U14+'50'!U14+'55'!U14+'61'!U14+'76'!U14+'КЛ 77'!U14+'78'!U14+КТЛ!U14+'83'!U14+'3'!U15+'110'!U14+'116'!U14+'117'!U14+'1'!U15+'2'!U15</f>
        <v>0</v>
      </c>
      <c r="V14" s="24">
        <f>'27'!V14+'37'!V14+'38'!V14+'40'!V14+'42'!V14+'45'!V14+'48'!V14+'50'!V14+'55'!V14+'61'!V14+'76'!V14+'КЛ 77'!V14+'78'!V14+КТЛ!V14+'83'!V14+'3'!V15+'110'!V14+'116'!V14+'117'!V14+'1'!V15+'2'!V15</f>
        <v>849033.92999999982</v>
      </c>
      <c r="W14" s="24">
        <f>'27'!W14+'37'!W14+'38'!W14+'40'!W14+'42'!W14+'45'!W14+'48'!W14+'50'!W14+'55'!W14+'61'!W14+'76'!W14+'КЛ 77'!W14+'78'!W14+КТЛ!W14+'83'!W14+'3'!W15+'110'!W14+'116'!W14+'117'!W14+'1'!W15+'2'!W15</f>
        <v>849033.92999999982</v>
      </c>
      <c r="X14" s="24">
        <f>'27'!X14+'37'!X14+'38'!X14+'40'!X14+'42'!X14+'45'!X14+'48'!X14+'50'!X14+'55'!X14+'61'!X14+'76'!X14+'КЛ 77'!X14+'78'!X14+КТЛ!X14+'83'!X14+'3'!X15+'110'!X14+'116'!X14+'117'!X14+'1'!X15+'2'!X15</f>
        <v>0</v>
      </c>
      <c r="Y14" s="24">
        <f>'27'!Y14+'37'!Y14+'38'!Y14+'40'!Y14+'42'!Y14+'45'!Y14+'48'!Y14+'50'!Y14+'55'!Y14+'61'!Y14+'76'!Y14+'КЛ 77'!Y14+'78'!Y14+КТЛ!Y14+'83'!Y14+'3'!Y15+'110'!Y14+'116'!Y14+'117'!Y14+'1'!Y15+'2'!Y15</f>
        <v>1412736.37</v>
      </c>
      <c r="Z14" s="25">
        <f>'27'!Z14+'37'!Z14+'38'!Z14+'40'!Z14+'42'!Z14+'45'!Z14+'48'!Z14+'50'!Z14+'55'!Z14+'61'!Z14+'76'!Z14+'КЛ 77'!Z14+'78'!Z14+КТЛ!Z14+'83'!Z14+'3'!Z15+'110'!Z14+'116'!Z14+'117'!Z14+'1'!Z15+'2'!Z15</f>
        <v>1412736.37</v>
      </c>
      <c r="AA14" s="24">
        <f>'27'!AA14+'37'!AA14+'38'!AA14+'40'!AA14+'42'!AA14+'45'!AA14+'48'!AA14+'50'!AA14+'55'!AA14+'61'!AA14+'76'!AA14+'КЛ 77'!AA14+'78'!AA14+КТЛ!AA14+'83'!AA14+'3'!AA15+'110'!AA14+'116'!AA14+'117'!AA14+'1'!AA15+'2'!AA15</f>
        <v>0</v>
      </c>
      <c r="AB14" s="24">
        <f>'27'!AB14+'37'!AB14+'38'!AB14+'40'!AB14+'42'!AB14+'45'!AB14+'48'!AB14+'50'!AB14+'55'!AB14+'61'!AB14+'76'!AB14+'КЛ 77'!AB14+'78'!AB14+КТЛ!AB14+'83'!AB14+'3'!AB15+'110'!AB14+'116'!AB14+'117'!AB14+'1'!AB15+'2'!AB15</f>
        <v>1622894.4099999997</v>
      </c>
      <c r="AC14" s="24">
        <f>'27'!AC14+'37'!AC14+'38'!AC14+'40'!AC14+'42'!AC14+'45'!AC14+'48'!AC14+'50'!AC14+'55'!AC14+'61'!AC14+'76'!AC14+'КЛ 77'!AC14+'78'!AC14+КТЛ!AC14+'83'!AC14+'3'!AC15+'110'!AC14+'116'!AC14+'117'!AC14+'1'!AC15+'2'!AC15</f>
        <v>1622894.4099999997</v>
      </c>
      <c r="AD14" s="24">
        <f>'27'!AD14+'37'!AD14+'38'!AD14+'40'!AD14+'42'!AD14+'45'!AD14+'48'!AD14+'50'!AD14+'55'!AD14+'61'!AD14+'76'!AD14+'КЛ 77'!AD14+'78'!AD14+КТЛ!AD14+'83'!AD14+'3'!AD15+'110'!AD14+'116'!AD14+'117'!AD14+'1'!AD15+'2'!AD15</f>
        <v>0</v>
      </c>
      <c r="AE14" s="24">
        <f>'27'!AE14+'37'!AE14+'38'!AE14+'40'!AE14+'42'!AE14+'45'!AE14+'48'!AE14+'50'!AE14+'55'!AE14+'61'!AE14+'76'!AE14+'КЛ 77'!AE14+'78'!AE14+КТЛ!AE14+'83'!AE14+'3'!AE15+'110'!AE14+'116'!AE14+'117'!AE14+'1'!AE15+'2'!AE15</f>
        <v>0</v>
      </c>
      <c r="AF14" s="24">
        <f>'27'!AF14+'37'!AF14+'38'!AF14+'40'!AF14+'42'!AF14+'45'!AF14+'48'!AF14+'50'!AF14+'55'!AF14+'61'!AF14+'76'!AF14+'КЛ 77'!AF14+'78'!AF14+КТЛ!AF14+'83'!AF14+'3'!AF15+'110'!AF14+'116'!AF14+'117'!AF14+'1'!AF15+'2'!AF15</f>
        <v>0</v>
      </c>
      <c r="AG14" s="24">
        <f>'27'!AG14+'37'!AG14+'38'!AG14+'40'!AG14+'42'!AG14+'45'!AG14+'48'!AG14+'50'!AG14+'55'!AG14+'61'!AG14+'76'!AG14+'КЛ 77'!AG14+'78'!AG14+КТЛ!AG14+'83'!AG14+'3'!AG15+'110'!AG14+'116'!AG14+'117'!AG14+'1'!AG15+'2'!AG15</f>
        <v>0</v>
      </c>
      <c r="AH14" s="24">
        <f>'27'!AH14+'37'!AH14+'38'!AH14+'40'!AH14+'42'!AH14+'45'!AH14+'48'!AH14+'50'!AH14+'55'!AH14+'61'!AH14+'76'!AH14+'КЛ 77'!AH14+'78'!AH14+КТЛ!AH14+'83'!AH14+'3'!AH15+'110'!AH14+'116'!AH14+'117'!AH14+'1'!AH15+'2'!AH15</f>
        <v>0</v>
      </c>
      <c r="AI14" s="24">
        <f>'27'!AI14+'37'!AI14+'38'!AI14+'40'!AI14+'42'!AI14+'45'!AI14+'48'!AI14+'50'!AI14+'55'!AI14+'61'!AI14+'76'!AI14+'КЛ 77'!AI14+'78'!AI14+КТЛ!AI14+'83'!AI14+'3'!AI15+'110'!AI14+'116'!AI14+'117'!AI14+'1'!AI15+'2'!AI15</f>
        <v>0</v>
      </c>
      <c r="AJ14" s="24">
        <f>'27'!AJ14+'37'!AJ14+'38'!AJ14+'40'!AJ14+'42'!AJ14+'45'!AJ14+'48'!AJ14+'50'!AJ14+'55'!AJ14+'61'!AJ14+'76'!AJ14+'КЛ 77'!AJ14+'78'!AJ14+КТЛ!AJ14+'83'!AJ14+'3'!AJ15+'110'!AJ14+'116'!AJ14+'117'!AJ14+'1'!AJ15+'2'!AJ15</f>
        <v>0</v>
      </c>
      <c r="AK14" s="24">
        <f>'2'!AK15+'1'!AK15+'117'!AK14+'116'!AK14+'110'!AK14+'3'!AK15+'83'!AK14+КТЛ!AK14+'78'!AK14+'КЛ 77'!AK14+'76'!AK14+'61'!AK14+'55'!AK14+'50'!AK14+'48'!AK14+'45'!AK14+'42'!AK14+'40'!AK14+'38'!AK14+'37'!AK14+'27'!AK14</f>
        <v>0</v>
      </c>
      <c r="AL14" s="24">
        <f>'27'!AL14+'37'!AL14+'38'!AL14+'40'!AL14+'42'!AL14+'45'!AL14+'48'!AL14+'50'!AL14+'55'!AL14+'61'!AL14+'76'!AL14+'КЛ 77'!AL14+'78'!AL14+КТЛ!AL14+'83'!AL14+'3'!AL15+'110'!AL14+'116'!AL14+'117'!AL14+'1'!AL15+'2'!AL15</f>
        <v>0</v>
      </c>
      <c r="AM14" s="26">
        <f>'27'!AM14+'37'!AM14+'38'!AM14+'40'!AM14+'42'!AM14+'45'!AM14+'48'!AM14+'50'!AM14+'55'!AM14+'61'!AM14+'76'!AM14+'КЛ 77'!AM14+'78'!AM14+КТЛ!AM14+'83'!AM14+'3'!AM15+'110'!AM14+'116'!AM14+'117'!AM14+'1'!AM15+'2'!AM15</f>
        <v>0</v>
      </c>
      <c r="AN14" s="26">
        <f>'27'!AN14+'37'!AN14+'38'!AN14+'40'!AN14+'42'!AN14+'45'!AN14+'48'!AN14+'50'!AN14+'55'!AN14+'61'!AN14+'76'!AN14+'КЛ 77'!AN14+'78'!AN14+КТЛ!AN14+'83'!AN14+'3'!AN15+'110'!AN14+'116'!AN14+'117'!AN14+'1'!AN15+'2'!AN15</f>
        <v>6756532.5999999996</v>
      </c>
      <c r="AO14" s="42">
        <f>'27'!AO14+'37'!AO14+'38'!AO14+'40'!AO14+'42'!AO14+'45'!AO14+'48'!AO14+'50'!AO14+'55'!AO14+'61'!AO14+'76'!AO14+'КЛ 77'!AO14+'78'!AO14+КТЛ!AO14+'83'!AO14+'3'!AO15+'110'!AO14+'116'!AO14+'117'!AO14+'1'!AO15+'2'!AO15</f>
        <v>6756532.5999999996</v>
      </c>
      <c r="AP14" s="39"/>
      <c r="AQ14" s="30">
        <v>2240</v>
      </c>
      <c r="AR14" s="29"/>
    </row>
    <row r="15" spans="1:44" s="28" customFormat="1" ht="20.100000000000001" customHeight="1">
      <c r="A15" s="23">
        <v>2250</v>
      </c>
      <c r="B15" s="23" t="s">
        <v>6</v>
      </c>
      <c r="C15" s="24">
        <f>'27'!C15+'37'!C15+'38'!C15+'40'!C15+'42'!C15+'45'!C15+'48'!C15+'50'!C15+'55'!C15+'61'!C15+'76'!C15+'КЛ 77'!C15+'78'!C15+КТЛ!C15+'83'!C15+'3'!C16+'110'!C15+'116'!C15+'117'!C15+'1'!C16+'2'!C16</f>
        <v>0</v>
      </c>
      <c r="D15" s="24">
        <f>'27'!D15+'37'!D15+'38'!D15+'40'!D15+'42'!D15+'45'!D15+'48'!D15+'50'!D15+'55'!D15+'61'!D15+'76'!D15+'КЛ 77'!D15+'78'!D15+КТЛ!D15+'83'!D15+'3'!D16+'110'!D15+'116'!D15+'117'!D15+'1'!D16+'2'!D16</f>
        <v>0</v>
      </c>
      <c r="E15" s="24">
        <f t="shared" si="0"/>
        <v>0</v>
      </c>
      <c r="F15" s="24">
        <f>'27'!F15+'37'!F15+'38'!F15+'40'!F15+'42'!F15+'45'!F15+'48'!F15+'50'!F15+'55'!F15+'61'!F15+'76'!F15+'КЛ 77'!F15+'78'!F15+КТЛ!F15+'83'!F15+'3'!F16+'110'!F15+'116'!F15+'117'!F15+'1'!F16+'2'!F16</f>
        <v>0</v>
      </c>
      <c r="G15" s="24">
        <f>'27'!G15+'37'!G15+'38'!G15+'40'!G15+'42'!G15+'45'!G15+'48'!G15+'50'!G15+'55'!G15+'61'!G15+'76'!G15+'КЛ 77'!G15+'78'!G15+КТЛ!G15+'83'!G15+'3'!G16+'110'!G15+'116'!G15+'117'!G15+'1'!G16+'2'!G16</f>
        <v>0</v>
      </c>
      <c r="H15" s="24">
        <f>'27'!H15+'37'!H15+'38'!H15+'40'!H15+'42'!H15+'45'!H15+'48'!H15+'50'!H15+'55'!H15+'61'!H15+'76'!H15+'КЛ 77'!H15+'78'!H15+КТЛ!H15+'83'!H15+'3'!H16+'110'!H15+'116'!H15+'117'!H15+'1'!H16+'2'!H16</f>
        <v>0</v>
      </c>
      <c r="I15" s="24">
        <f>'27'!I15+'37'!I15+'38'!I15+'40'!I15+'42'!I15+'45'!I15+'48'!I15+'50'!I15+'55'!I15+'61'!I15+'76'!I15+'КЛ 77'!I15+'78'!I15+КТЛ!I15+'83'!I15+'3'!I16+'110'!I15+'116'!I15+'117'!I15+'1'!I16+'2'!I16</f>
        <v>0</v>
      </c>
      <c r="J15" s="24">
        <f>'27'!J15+'37'!J15+'38'!J15+'40'!J15+'42'!J15+'45'!J15+'48'!J15+'50'!J15+'55'!J15+'61'!J15+'76'!J15+'КЛ 77'!J15+'78'!J15+КТЛ!J15+'83'!J15+'3'!J16+'110'!J15+'116'!J15+'117'!J15+'1'!J16+'2'!J16</f>
        <v>0</v>
      </c>
      <c r="K15" s="24">
        <f>'27'!K15+'37'!K15+'38'!K15+'40'!K15+'42'!K15+'45'!K15+'48'!K15+'50'!K15+'55'!K15+'61'!K15+'76'!K15+'КЛ 77'!K15+'78'!K15+КТЛ!K15+'83'!K15+'3'!K16+'110'!K15+'116'!K15+'117'!K15+'1'!K16+'2'!K16</f>
        <v>0</v>
      </c>
      <c r="L15" s="24">
        <f>'27'!L15+'37'!L15+'38'!L15+'40'!L15+'42'!L15+'45'!L15+'48'!L15+'50'!L15+'55'!L15+'61'!L15+'76'!L15+'КЛ 77'!L15+'78'!L15+КТЛ!L15+'83'!L15+'3'!L16+'110'!L15+'116'!L15+'117'!L15+'1'!L16+'2'!L16</f>
        <v>0</v>
      </c>
      <c r="M15" s="24">
        <f>'27'!M15+'37'!M15+'38'!M15+'40'!M15+'42'!M15+'45'!M15+'48'!M15+'50'!M15+'55'!M15+'61'!M15+'76'!M15+'КЛ 77'!M15+'78'!M15+КТЛ!M15+'83'!M15+'3'!M16+'110'!M15+'116'!M15+'117'!M15+'1'!M16+'2'!M16</f>
        <v>0</v>
      </c>
      <c r="N15" s="24">
        <f>'27'!N15+'37'!N15+'38'!N15+'40'!N15+'42'!N15+'45'!N15+'48'!N15+'50'!N15+'55'!N15+'61'!N15+'76'!N15+'КЛ 77'!N15+'78'!N15+КТЛ!N15+'83'!N15+'3'!N16+'110'!N15+'116'!N15+'117'!N15+'1'!N16+'2'!N16</f>
        <v>0</v>
      </c>
      <c r="O15" s="24">
        <f>'27'!O15+'37'!O15+'38'!O15+'40'!O15+'42'!O15+'45'!O15+'48'!O15+'50'!O15+'55'!O15+'61'!O15+'76'!O15+'КЛ 77'!O15+'78'!O15+КТЛ!O15+'83'!O15+'3'!O16+'110'!O15+'116'!O15+'117'!O15+'1'!O16+'2'!O16</f>
        <v>0</v>
      </c>
      <c r="P15" s="24">
        <f>'27'!P15+'37'!P15+'38'!P15+'40'!P15+'42'!P15+'45'!P15+'48'!P15+'50'!P15+'55'!P15+'61'!P15+'76'!P15+'КЛ 77'!P15+'78'!P15+КТЛ!P15+'83'!P15+'3'!P16+'110'!P15+'116'!P15+'117'!P15+'1'!P16+'2'!P16</f>
        <v>0</v>
      </c>
      <c r="Q15" s="24">
        <f>'27'!Q15+'37'!Q15+'38'!Q15+'40'!Q15+'42'!Q15+'45'!Q15+'48'!Q15+'50'!Q15+'55'!Q15+'61'!Q15+'76'!Q15+'КЛ 77'!Q15+'78'!Q15+КТЛ!Q15+'83'!Q15+'3'!Q16+'110'!Q15+'116'!Q15+'117'!Q15+'1'!Q16+'2'!Q16</f>
        <v>0</v>
      </c>
      <c r="R15" s="24">
        <f>'27'!R15+'37'!R15+'38'!R15+'40'!R15+'42'!R15+'45'!R15+'48'!R15+'50'!R15+'55'!R15+'61'!R15+'76'!R15+'КЛ 77'!R15+'78'!R15+КТЛ!R15+'83'!R15+'3'!R16+'110'!R15+'116'!R15+'117'!R15+'1'!R16+'2'!R16</f>
        <v>0</v>
      </c>
      <c r="S15" s="24">
        <f>'27'!S15+'37'!S15+'38'!S15+'40'!S15+'42'!S15+'45'!S15+'48'!S15+'50'!S15+'55'!S15+'61'!S15+'76'!S15+'КЛ 77'!S15+'78'!S15+КТЛ!S15+'83'!S15+'3'!S16+'110'!S15+'116'!S15+'117'!S15+'1'!S16+'2'!S16</f>
        <v>0</v>
      </c>
      <c r="T15" s="24">
        <f>'27'!T15+'37'!T15+'38'!T15+'40'!T15+'42'!T15+'45'!T15+'48'!T15+'50'!T15+'55'!T15+'61'!T15+'76'!T15+'КЛ 77'!T15+'78'!T15+КТЛ!T15+'83'!T15+'3'!T16+'110'!T15+'116'!T15+'117'!T15+'1'!T16+'2'!T16</f>
        <v>0</v>
      </c>
      <c r="U15" s="24">
        <f>'27'!U15+'37'!U15+'38'!U15+'40'!U15+'42'!U15+'45'!U15+'48'!U15+'50'!U15+'55'!U15+'61'!U15+'76'!U15+'КЛ 77'!U15+'78'!U15+КТЛ!U15+'83'!U15+'3'!U16+'110'!U15+'116'!U15+'117'!U15+'1'!U16+'2'!U16</f>
        <v>0</v>
      </c>
      <c r="V15" s="24">
        <f>'27'!V15+'37'!V15+'38'!V15+'40'!V15+'42'!V15+'45'!V15+'48'!V15+'50'!V15+'55'!V15+'61'!V15+'76'!V15+'КЛ 77'!V15+'78'!V15+КТЛ!V15+'83'!V15+'3'!V16+'110'!V15+'116'!V15+'117'!V15+'1'!V16+'2'!V16</f>
        <v>0</v>
      </c>
      <c r="W15" s="24">
        <f>'27'!W15+'37'!W15+'38'!W15+'40'!W15+'42'!W15+'45'!W15+'48'!W15+'50'!W15+'55'!W15+'61'!W15+'76'!W15+'КЛ 77'!W15+'78'!W15+КТЛ!W15+'83'!W15+'3'!W16+'110'!W15+'116'!W15+'117'!W15+'1'!W16+'2'!W16</f>
        <v>0</v>
      </c>
      <c r="X15" s="24">
        <f>'27'!X15+'37'!X15+'38'!X15+'40'!X15+'42'!X15+'45'!X15+'48'!X15+'50'!X15+'55'!X15+'61'!X15+'76'!X15+'КЛ 77'!X15+'78'!X15+КТЛ!X15+'83'!X15+'3'!X16+'110'!X15+'116'!X15+'117'!X15+'1'!X16+'2'!X16</f>
        <v>0</v>
      </c>
      <c r="Y15" s="24">
        <f>'27'!Y15+'37'!Y15+'38'!Y15+'40'!Y15+'42'!Y15+'45'!Y15+'48'!Y15+'50'!Y15+'55'!Y15+'61'!Y15+'76'!Y15+'КЛ 77'!Y15+'78'!Y15+КТЛ!Y15+'83'!Y15+'3'!Y16+'110'!Y15+'116'!Y15+'117'!Y15+'1'!Y16+'2'!Y16</f>
        <v>0</v>
      </c>
      <c r="Z15" s="24">
        <f>'27'!Z15+'37'!Z15+'38'!Z15+'40'!Z15+'42'!Z15+'45'!Z15+'48'!Z15+'50'!Z15+'55'!Z15+'61'!Z15+'76'!Z15+'КЛ 77'!Z15+'78'!Z15+КТЛ!Z15+'83'!Z15+'3'!Z16+'110'!Z15+'116'!Z15+'117'!Z15+'1'!Z16+'2'!Z16</f>
        <v>0</v>
      </c>
      <c r="AA15" s="24">
        <f>'27'!AA15+'37'!AA15+'38'!AA15+'40'!AA15+'42'!AA15+'45'!AA15+'48'!AA15+'50'!AA15+'55'!AA15+'61'!AA15+'76'!AA15+'КЛ 77'!AA15+'78'!AA15+КТЛ!AA15+'83'!AA15+'3'!AA16+'110'!AA15+'116'!AA15+'117'!AA15+'1'!AA16+'2'!AA16</f>
        <v>0</v>
      </c>
      <c r="AB15" s="24">
        <f>'27'!AB15+'37'!AB15+'38'!AB15+'40'!AB15+'42'!AB15+'45'!AB15+'48'!AB15+'50'!AB15+'55'!AB15+'61'!AB15+'76'!AB15+'КЛ 77'!AB15+'78'!AB15+КТЛ!AB15+'83'!AB15+'3'!AB16+'110'!AB15+'116'!AB15+'117'!AB15+'1'!AB16+'2'!AB16</f>
        <v>1900</v>
      </c>
      <c r="AC15" s="24">
        <f>'27'!AC15+'37'!AC15+'38'!AC15+'40'!AC15+'42'!AC15+'45'!AC15+'48'!AC15+'50'!AC15+'55'!AC15+'61'!AC15+'76'!AC15+'КЛ 77'!AC15+'78'!AC15+КТЛ!AC15+'83'!AC15+'3'!AC16+'110'!AC15+'116'!AC15+'117'!AC15+'1'!AC16+'2'!AC16</f>
        <v>1900</v>
      </c>
      <c r="AD15" s="24">
        <f>'27'!AD15+'37'!AD15+'38'!AD15+'40'!AD15+'42'!AD15+'45'!AD15+'48'!AD15+'50'!AD15+'55'!AD15+'61'!AD15+'76'!AD15+'КЛ 77'!AD15+'78'!AD15+КТЛ!AD15+'83'!AD15+'3'!AD16+'110'!AD15+'116'!AD15+'117'!AD15+'1'!AD16+'2'!AD16</f>
        <v>0</v>
      </c>
      <c r="AE15" s="24">
        <f>'27'!AE15+'37'!AE15+'38'!AE15+'40'!AE15+'42'!AE15+'45'!AE15+'48'!AE15+'50'!AE15+'55'!AE15+'61'!AE15+'76'!AE15+'КЛ 77'!AE15+'78'!AE15+КТЛ!AE15+'83'!AE15+'3'!AE16+'110'!AE15+'116'!AE15+'117'!AE15+'1'!AE16+'2'!AE16</f>
        <v>0</v>
      </c>
      <c r="AF15" s="24">
        <f>'27'!AF15+'37'!AF15+'38'!AF15+'40'!AF15+'42'!AF15+'45'!AF15+'48'!AF15+'50'!AF15+'55'!AF15+'61'!AF15+'76'!AF15+'КЛ 77'!AF15+'78'!AF15+КТЛ!AF15+'83'!AF15+'3'!AF16+'110'!AF15+'116'!AF15+'117'!AF15+'1'!AF16+'2'!AF16</f>
        <v>0</v>
      </c>
      <c r="AG15" s="24">
        <f>'27'!AG15+'37'!AG15+'38'!AG15+'40'!AG15+'42'!AG15+'45'!AG15+'48'!AG15+'50'!AG15+'55'!AG15+'61'!AG15+'76'!AG15+'КЛ 77'!AG15+'78'!AG15+КТЛ!AG15+'83'!AG15+'3'!AG16+'110'!AG15+'116'!AG15+'117'!AG15+'1'!AG16+'2'!AG16</f>
        <v>0</v>
      </c>
      <c r="AH15" s="24">
        <f>'27'!AH15+'37'!AH15+'38'!AH15+'40'!AH15+'42'!AH15+'45'!AH15+'48'!AH15+'50'!AH15+'55'!AH15+'61'!AH15+'76'!AH15+'КЛ 77'!AH15+'78'!AH15+КТЛ!AH15+'83'!AH15+'3'!AH16+'110'!AH15+'116'!AH15+'117'!AH15+'1'!AH16+'2'!AH16</f>
        <v>0</v>
      </c>
      <c r="AI15" s="24">
        <f>'27'!AI15+'37'!AI15+'38'!AI15+'40'!AI15+'42'!AI15+'45'!AI15+'48'!AI15+'50'!AI15+'55'!AI15+'61'!AI15+'76'!AI15+'КЛ 77'!AI15+'78'!AI15+КТЛ!AI15+'83'!AI15+'3'!AI16+'110'!AI15+'116'!AI15+'117'!AI15+'1'!AI16+'2'!AI16</f>
        <v>0</v>
      </c>
      <c r="AJ15" s="24">
        <f>'27'!AJ15+'37'!AJ15+'38'!AJ15+'40'!AJ15+'42'!AJ15+'45'!AJ15+'48'!AJ15+'50'!AJ15+'55'!AJ15+'61'!AJ15+'76'!AJ15+'КЛ 77'!AJ15+'78'!AJ15+КТЛ!AJ15+'83'!AJ15+'3'!AJ16+'110'!AJ15+'116'!AJ15+'117'!AJ15+'1'!AJ16+'2'!AJ16</f>
        <v>0</v>
      </c>
      <c r="AK15" s="24">
        <f>'27'!AK15+'37'!AK15+'38'!AK15+'40'!AK15+'42'!AK15+'45'!AK15+'48'!AK15+'50'!AK15+'55'!AK15+'61'!AK15+'76'!AK15+'КЛ 77'!AK15+'78'!AK15+КТЛ!AK15+'83'!AK15+'3'!AK16+'110'!AK15+'116'!AK15+'117'!AK15+'1'!AK16+'2'!AK16</f>
        <v>0</v>
      </c>
      <c r="AL15" s="24">
        <f>'27'!AL15+'37'!AL15+'38'!AL15+'40'!AL15+'42'!AL15+'45'!AL15+'48'!AL15+'50'!AL15+'55'!AL15+'61'!AL15+'76'!AL15+'КЛ 77'!AL15+'78'!AL15+КТЛ!AL15+'83'!AL15+'3'!AL16+'110'!AL15+'116'!AL15+'117'!AL15+'1'!AL16+'2'!AL16</f>
        <v>0</v>
      </c>
      <c r="AM15" s="26">
        <f>'27'!AM15+'37'!AM15+'38'!AM15+'40'!AM15+'42'!AM15+'45'!AM15+'48'!AM15+'50'!AM15+'55'!AM15+'61'!AM15+'76'!AM15+'КЛ 77'!AM15+'78'!AM15+КТЛ!AM15+'83'!AM15+'3'!AM16+'110'!AM15+'116'!AM15+'117'!AM15+'1'!AM16+'2'!AM16</f>
        <v>0</v>
      </c>
      <c r="AN15" s="26">
        <f>'27'!AN15+'37'!AN15+'38'!AN15+'40'!AN15+'42'!AN15+'45'!AN15+'48'!AN15+'50'!AN15+'55'!AN15+'61'!AN15+'76'!AN15+'КЛ 77'!AN15+'78'!AN15+КТЛ!AN15+'83'!AN15+'3'!AN16+'110'!AN15+'116'!AN15+'117'!AN15+'1'!AN16+'2'!AN16</f>
        <v>1900</v>
      </c>
      <c r="AO15" s="42">
        <f>'27'!AO15+'37'!AO15+'38'!AO15+'40'!AO15+'42'!AO15+'45'!AO15+'48'!AO15+'50'!AO15+'55'!AO15+'61'!AO15+'76'!AO15+'КЛ 77'!AO15+'78'!AO15+КТЛ!AO15+'83'!AO15+'3'!AO16+'110'!AO15+'116'!AO15+'117'!AO15+'1'!AO16+'2'!AO16</f>
        <v>1900</v>
      </c>
      <c r="AP15" s="39" t="s">
        <v>66</v>
      </c>
      <c r="AQ15" s="28">
        <v>2250</v>
      </c>
      <c r="AR15" s="29"/>
    </row>
    <row r="16" spans="1:44" s="28" customFormat="1" ht="20.100000000000001" customHeight="1">
      <c r="A16" s="23">
        <v>2260</v>
      </c>
      <c r="B16" s="23" t="s">
        <v>7</v>
      </c>
      <c r="C16" s="24">
        <f>'27'!C16+'37'!C16+'38'!C16+'40'!C16+'42'!C16+'45'!C16+'48'!C16+'50'!C16+'55'!C16+'61'!C16+'76'!C16+'КЛ 77'!C16+'78'!C16+КТЛ!C16+'83'!C16+'3'!C17+'110'!C16+'116'!C16+'117'!C16+'1'!C17+'2'!C17</f>
        <v>0</v>
      </c>
      <c r="D16" s="24">
        <f>'27'!D16+'37'!D16+'38'!D16+'40'!D16+'42'!D16+'45'!D16+'48'!D16+'50'!D16+'55'!D16+'61'!D16+'76'!D16+'КЛ 77'!D16+'78'!D16+КТЛ!D16+'83'!D16+'3'!D17+'110'!D16+'116'!D16+'117'!D16+'1'!D17+'2'!D17</f>
        <v>0</v>
      </c>
      <c r="E16" s="24">
        <f t="shared" si="0"/>
        <v>0</v>
      </c>
      <c r="F16" s="24">
        <f>'27'!F16+'37'!F16+'38'!F16+'40'!F16+'42'!F16+'45'!F16+'48'!F16+'50'!F16+'55'!F16+'61'!F16+'76'!F16+'КЛ 77'!F16+'78'!F16+КТЛ!F16+'83'!F16+'3'!F17+'110'!F16+'116'!F16+'117'!F16+'1'!F17+'2'!F17</f>
        <v>0</v>
      </c>
      <c r="G16" s="24">
        <f>'27'!G16+'37'!G16+'38'!G16+'40'!G16+'42'!G16+'45'!G16+'48'!G16+'50'!G16+'55'!G16+'61'!G16+'76'!G16+'КЛ 77'!G16+'78'!G16+КТЛ!G16+'83'!G16+'3'!G17+'110'!G16+'116'!G16+'117'!G16+'1'!G17+'2'!G17</f>
        <v>0</v>
      </c>
      <c r="H16" s="24">
        <f>'27'!H16+'37'!H16+'38'!H16+'40'!H16+'42'!H16+'45'!H16+'48'!H16+'50'!H16+'55'!H16+'61'!H16+'76'!H16+'КЛ 77'!H16+'78'!H16+КТЛ!H16+'83'!H16+'3'!H17+'110'!H16+'116'!H16+'117'!H16+'1'!H17+'2'!H17</f>
        <v>0</v>
      </c>
      <c r="I16" s="24">
        <f>'27'!I16+'37'!I16+'38'!I16+'40'!I16+'42'!I16+'45'!I16+'48'!I16+'50'!I16+'55'!I16+'61'!I16+'76'!I16+'КЛ 77'!I16+'78'!I16+КТЛ!I16+'83'!I16+'3'!I17+'110'!I16+'116'!I16+'117'!I16+'1'!I17+'2'!I17</f>
        <v>0</v>
      </c>
      <c r="J16" s="24">
        <f>'27'!J16+'37'!J16+'38'!J16+'40'!J16+'42'!J16+'45'!J16+'48'!J16+'50'!J16+'55'!J16+'61'!J16+'76'!J16+'КЛ 77'!J16+'78'!J16+КТЛ!J16+'83'!J16+'3'!J17+'110'!J16+'116'!J16+'117'!J16+'1'!J17+'2'!J17</f>
        <v>0</v>
      </c>
      <c r="K16" s="24">
        <f>'27'!K16+'37'!K16+'38'!K16+'40'!K16+'42'!K16+'45'!K16+'48'!K16+'50'!K16+'55'!K16+'61'!K16+'76'!K16+'КЛ 77'!K16+'78'!K16+КТЛ!K16+'83'!K16+'3'!K17+'110'!K16+'116'!K16+'117'!K16+'1'!K17+'2'!K17</f>
        <v>0</v>
      </c>
      <c r="L16" s="24">
        <f>'27'!L16+'37'!L16+'38'!L16+'40'!L16+'42'!L16+'45'!L16+'48'!L16+'50'!L16+'55'!L16+'61'!L16+'76'!L16+'КЛ 77'!L16+'78'!L16+КТЛ!L16+'83'!L16+'3'!L17+'110'!L16+'116'!L16+'117'!L16+'1'!L17+'2'!L17</f>
        <v>0</v>
      </c>
      <c r="M16" s="24">
        <f>'27'!M16+'37'!M16+'38'!M16+'40'!M16+'42'!M16+'45'!M16+'48'!M16+'50'!M16+'55'!M16+'61'!M16+'76'!M16+'КЛ 77'!M16+'78'!M16+КТЛ!M16+'83'!M16+'3'!M17+'110'!M16+'116'!M16+'117'!M16+'1'!M17+'2'!M17</f>
        <v>0</v>
      </c>
      <c r="N16" s="24">
        <f>'27'!N16+'37'!N16+'38'!N16+'40'!N16+'42'!N16+'45'!N16+'48'!N16+'50'!N16+'55'!N16+'61'!N16+'76'!N16+'КЛ 77'!N16+'78'!N16+КТЛ!N16+'83'!N16+'3'!N17+'110'!N16+'116'!N16+'117'!N16+'1'!N17+'2'!N17</f>
        <v>0</v>
      </c>
      <c r="O16" s="24">
        <f>'27'!O16+'37'!O16+'38'!O16+'40'!O16+'42'!O16+'45'!O16+'48'!O16+'50'!O16+'55'!O16+'61'!O16+'76'!O16+'КЛ 77'!O16+'78'!O16+КТЛ!O16+'83'!O16+'3'!O17+'110'!O16+'116'!O16+'117'!O16+'1'!O17+'2'!O17</f>
        <v>0</v>
      </c>
      <c r="P16" s="24">
        <f>'27'!P16+'37'!P16+'38'!P16+'40'!P16+'42'!P16+'45'!P16+'48'!P16+'50'!P16+'55'!P16+'61'!P16+'76'!P16+'КЛ 77'!P16+'78'!P16+КТЛ!P16+'83'!P16+'3'!P17+'110'!P16+'116'!P16+'117'!P16+'1'!P17+'2'!P17</f>
        <v>0</v>
      </c>
      <c r="Q16" s="24">
        <f>'27'!Q16+'37'!Q16+'38'!Q16+'40'!Q16+'42'!Q16+'45'!Q16+'48'!Q16+'50'!Q16+'55'!Q16+'61'!Q16+'76'!Q16+'КЛ 77'!Q16+'78'!Q16+КТЛ!Q16+'83'!Q16+'3'!Q17+'110'!Q16+'116'!Q16+'117'!Q16+'1'!Q17+'2'!Q17</f>
        <v>0</v>
      </c>
      <c r="R16" s="24">
        <f>'27'!R16+'37'!R16+'38'!R16+'40'!R16+'42'!R16+'45'!R16+'48'!R16+'50'!R16+'55'!R16+'61'!R16+'76'!R16+'КЛ 77'!R16+'78'!R16+КТЛ!R16+'83'!R16+'3'!R17+'110'!R16+'116'!R16+'117'!R16+'1'!R17+'2'!R17</f>
        <v>0</v>
      </c>
      <c r="S16" s="24">
        <f>'27'!S16+'37'!S16+'38'!S16+'40'!S16+'42'!S16+'45'!S16+'48'!S16+'50'!S16+'55'!S16+'61'!S16+'76'!S16+'КЛ 77'!S16+'78'!S16+КТЛ!S16+'83'!S16+'3'!S17+'110'!S16+'116'!S16+'117'!S16+'1'!S17+'2'!S17</f>
        <v>0</v>
      </c>
      <c r="T16" s="24">
        <f>'27'!T16+'37'!T16+'38'!T16+'40'!T16+'42'!T16+'45'!T16+'48'!T16+'50'!T16+'55'!T16+'61'!T16+'76'!T16+'КЛ 77'!T16+'78'!T16+КТЛ!T16+'83'!T16+'3'!T17+'110'!T16+'116'!T16+'117'!T16+'1'!T17+'2'!T17</f>
        <v>0</v>
      </c>
      <c r="U16" s="24">
        <f>'27'!U16+'37'!U16+'38'!U16+'40'!U16+'42'!U16+'45'!U16+'48'!U16+'50'!U16+'55'!U16+'61'!U16+'76'!U16+'КЛ 77'!U16+'78'!U16+КТЛ!U16+'83'!U16+'3'!U17+'110'!U16+'116'!U16+'117'!U16+'1'!U17+'2'!U17</f>
        <v>0</v>
      </c>
      <c r="V16" s="24">
        <f>'27'!V16+'37'!V16+'38'!V16+'40'!V16+'42'!V16+'45'!V16+'48'!V16+'50'!V16+'55'!V16+'61'!V16+'76'!V16+'КЛ 77'!V16+'78'!V16+КТЛ!V16+'83'!V16+'3'!V17+'110'!V16+'116'!V16+'117'!V16+'1'!V17+'2'!V17</f>
        <v>0</v>
      </c>
      <c r="W16" s="24">
        <f>'27'!W16+'37'!W16+'38'!W16+'40'!W16+'42'!W16+'45'!W16+'48'!W16+'50'!W16+'55'!W16+'61'!W16+'76'!W16+'КЛ 77'!W16+'78'!W16+КТЛ!W16+'83'!W16+'3'!W17+'110'!W16+'116'!W16+'117'!W16+'1'!W17+'2'!W17</f>
        <v>0</v>
      </c>
      <c r="X16" s="24">
        <f>'27'!X16+'37'!X16+'38'!X16+'40'!X16+'42'!X16+'45'!X16+'48'!X16+'50'!X16+'55'!X16+'61'!X16+'76'!X16+'КЛ 77'!X16+'78'!X16+КТЛ!X16+'83'!X16+'3'!X17+'110'!X16+'116'!X16+'117'!X16+'1'!X17+'2'!X17</f>
        <v>0</v>
      </c>
      <c r="Y16" s="24">
        <f>'27'!Y16+'37'!Y16+'38'!Y16+'40'!Y16+'42'!Y16+'45'!Y16+'48'!Y16+'50'!Y16+'55'!Y16+'61'!Y16+'76'!Y16+'КЛ 77'!Y16+'78'!Y16+КТЛ!Y16+'83'!Y16+'3'!Y17+'110'!Y16+'116'!Y16+'117'!Y16+'1'!Y17+'2'!Y17</f>
        <v>0</v>
      </c>
      <c r="Z16" s="24">
        <f>'27'!Z16+'37'!Z16+'38'!Z16+'40'!Z16+'42'!Z16+'45'!Z16+'48'!Z16+'50'!Z16+'55'!Z16+'61'!Z16+'76'!Z16+'КЛ 77'!Z16+'78'!Z16+КТЛ!Z16+'83'!Z16+'3'!Z17+'110'!Z16+'116'!Z16+'117'!Z16+'1'!Z17+'2'!Z17</f>
        <v>0</v>
      </c>
      <c r="AA16" s="24">
        <f>'27'!AA16+'37'!AA16+'38'!AA16+'40'!AA16+'42'!AA16+'45'!AA16+'48'!AA16+'50'!AA16+'55'!AA16+'61'!AA16+'76'!AA16+'КЛ 77'!AA16+'78'!AA16+КТЛ!AA16+'83'!AA16+'3'!AA17+'110'!AA16+'116'!AA16+'117'!AA16+'1'!AA17+'2'!AA17</f>
        <v>0</v>
      </c>
      <c r="AB16" s="24">
        <f>'27'!AB16+'37'!AB16+'38'!AB16+'40'!AB16+'42'!AB16+'45'!AB16+'48'!AB16+'50'!AB16+'55'!AB16+'61'!AB16+'76'!AB16+'КЛ 77'!AB16+'78'!AB16+КТЛ!AB16+'83'!AB16+'3'!AB17+'110'!AB16+'116'!AB16+'117'!AB16+'1'!AB17+'2'!AB17</f>
        <v>0</v>
      </c>
      <c r="AC16" s="24">
        <f>'27'!AC16+'37'!AC16+'38'!AC16+'40'!AC16+'42'!AC16+'45'!AC16+'48'!AC16+'50'!AC16+'55'!AC16+'61'!AC16+'76'!AC16+'КЛ 77'!AC16+'78'!AC16+КТЛ!AC16+'83'!AC16+'3'!AC17+'110'!AC16+'116'!AC16+'117'!AC16+'1'!AC17+'2'!AC17</f>
        <v>0</v>
      </c>
      <c r="AD16" s="24">
        <f>'27'!AD16+'37'!AD16+'38'!AD16+'40'!AD16+'42'!AD16+'45'!AD16+'48'!AD16+'50'!AD16+'55'!AD16+'61'!AD16+'76'!AD16+'КЛ 77'!AD16+'78'!AD16+КТЛ!AD16+'83'!AD16+'3'!AD17+'110'!AD16+'116'!AD16+'117'!AD16+'1'!AD17+'2'!AD17</f>
        <v>0</v>
      </c>
      <c r="AE16" s="24">
        <f>'27'!AE16+'37'!AE16+'38'!AE16+'40'!AE16+'42'!AE16+'45'!AE16+'48'!AE16+'50'!AE16+'55'!AE16+'61'!AE16+'76'!AE16+'КЛ 77'!AE16+'78'!AE16+КТЛ!AE16+'83'!AE16+'3'!AE17+'110'!AE16+'116'!AE16+'117'!AE16+'1'!AE17+'2'!AE17</f>
        <v>0</v>
      </c>
      <c r="AF16" s="24">
        <f>'27'!AF16+'37'!AF16+'38'!AF16+'40'!AF16+'42'!AF16+'45'!AF16+'48'!AF16+'50'!AF16+'55'!AF16+'61'!AF16+'76'!AF16+'КЛ 77'!AF16+'78'!AF16+КТЛ!AF16+'83'!AF16+'3'!AF17+'110'!AF16+'116'!AF16+'117'!AF16+'1'!AF17+'2'!AF17</f>
        <v>0</v>
      </c>
      <c r="AG16" s="24">
        <f>'27'!AG16+'37'!AG16+'38'!AG16+'40'!AG16+'42'!AG16+'45'!AG16+'48'!AG16+'50'!AG16+'55'!AG16+'61'!AG16+'76'!AG16+'КЛ 77'!AG16+'78'!AG16+КТЛ!AG16+'83'!AG16+'3'!AG17+'110'!AG16+'116'!AG16+'117'!AG16+'1'!AG17+'2'!AG17</f>
        <v>0</v>
      </c>
      <c r="AH16" s="24">
        <f>'27'!AH16+'37'!AH16+'38'!AH16+'40'!AH16+'42'!AH16+'45'!AH16+'48'!AH16+'50'!AH16+'55'!AH16+'61'!AH16+'76'!AH16+'КЛ 77'!AH16+'78'!AH16+КТЛ!AH16+'83'!AH16+'3'!AH17+'110'!AH16+'116'!AH16+'117'!AH16+'1'!AH17+'2'!AH17</f>
        <v>0</v>
      </c>
      <c r="AI16" s="24">
        <f>'27'!AI16+'37'!AI16+'38'!AI16+'40'!AI16+'42'!AI16+'45'!AI16+'48'!AI16+'50'!AI16+'55'!AI16+'61'!AI16+'76'!AI16+'КЛ 77'!AI16+'78'!AI16+КТЛ!AI16+'83'!AI16+'3'!AI17+'110'!AI16+'116'!AI16+'117'!AI16+'1'!AI17+'2'!AI17</f>
        <v>0</v>
      </c>
      <c r="AJ16" s="24">
        <f>'27'!AJ16+'37'!AJ16+'38'!AJ16+'40'!AJ16+'42'!AJ16+'45'!AJ16+'48'!AJ16+'50'!AJ16+'55'!AJ16+'61'!AJ16+'76'!AJ16+'КЛ 77'!AJ16+'78'!AJ16+КТЛ!AJ16+'83'!AJ16+'3'!AJ17+'110'!AJ16+'116'!AJ16+'117'!AJ16+'1'!AJ17+'2'!AJ17</f>
        <v>0</v>
      </c>
      <c r="AK16" s="24">
        <f>'27'!AK16+'37'!AK16+'38'!AK16+'40'!AK16+'42'!AK16+'45'!AK16+'48'!AK16+'50'!AK16+'55'!AK16+'61'!AK16+'76'!AK16+'КЛ 77'!AK16+'78'!AK16+КТЛ!AK16+'83'!AK16+'3'!AK17+'110'!AK16+'116'!AK16+'117'!AK16+'1'!AK17+'2'!AK17</f>
        <v>0</v>
      </c>
      <c r="AL16" s="24">
        <f>'27'!AL16+'37'!AL16+'38'!AL16+'40'!AL16+'42'!AL16+'45'!AL16+'48'!AL16+'50'!AL16+'55'!AL16+'61'!AL16+'76'!AL16+'КЛ 77'!AL16+'78'!AL16+КТЛ!AL16+'83'!AL16+'3'!AL17+'110'!AL16+'116'!AL16+'117'!AL16+'1'!AL17+'2'!AL17</f>
        <v>0</v>
      </c>
      <c r="AM16" s="26">
        <f>'27'!AM16+'37'!AM16+'38'!AM16+'40'!AM16+'42'!AM16+'45'!AM16+'48'!AM16+'50'!AM16+'55'!AM16+'61'!AM16+'76'!AM16+'КЛ 77'!AM16+'78'!AM16+КТЛ!AM16+'83'!AM16+'3'!AM17+'110'!AM16+'116'!AM16+'117'!AM16+'1'!AM17+'2'!AM17</f>
        <v>0</v>
      </c>
      <c r="AN16" s="26">
        <f>'27'!AN16+'37'!AN16+'38'!AN16+'40'!AN16+'42'!AN16+'45'!AN16+'48'!AN16+'50'!AN16+'55'!AN16+'61'!AN16+'76'!AN16+'КЛ 77'!AN16+'78'!AN16+КТЛ!AN16+'83'!AN16+'3'!AN17+'110'!AN16+'116'!AN16+'117'!AN16+'1'!AN17+'2'!AN17</f>
        <v>0</v>
      </c>
      <c r="AO16" s="42">
        <f>'27'!AO16+'37'!AO16+'38'!AO16+'40'!AO16+'42'!AO16+'45'!AO16+'48'!AO16+'50'!AO16+'55'!AO16+'61'!AO16+'76'!AO16+'КЛ 77'!AO16+'78'!AO16+КТЛ!AO16+'83'!AO16+'3'!AO17+'110'!AO16+'116'!AO16+'117'!AO16+'1'!AO17+'2'!AO17</f>
        <v>0</v>
      </c>
      <c r="AP16" s="39"/>
      <c r="AQ16" s="28" t="s">
        <v>66</v>
      </c>
    </row>
    <row r="17" spans="1:44" s="28" customFormat="1" ht="20.100000000000001" customHeight="1">
      <c r="A17" s="23">
        <v>2271</v>
      </c>
      <c r="B17" s="23" t="s">
        <v>8</v>
      </c>
      <c r="C17" s="24">
        <f>'27'!C17+'37'!C17+'38'!C17+'40'!C17+'42'!C17+'45'!C17+'48'!C17+'50'!C17+'55'!C17+'61'!C17+'76'!C17+'КЛ 77'!C17+'78'!C17+КТЛ!C17+'83'!C17+'3'!C18+'110'!C17+'116'!C17+'117'!C17+'1'!C18+'2'!C18</f>
        <v>0</v>
      </c>
      <c r="D17" s="24">
        <f>'27'!D17+'37'!D17+'38'!D17+'40'!D17+'42'!D17+'45'!D17+'48'!D17+'50'!D17+'55'!D17+'61'!D17+'76'!D17+'КЛ 77'!D17+'78'!D17+КТЛ!D17+'83'!D17+'3'!D18+'110'!D17+'116'!D17+'117'!D17+'1'!D18+'2'!D18</f>
        <v>0</v>
      </c>
      <c r="E17" s="24">
        <f t="shared" si="0"/>
        <v>0</v>
      </c>
      <c r="F17" s="24">
        <f>'27'!F17+'37'!F17+'38'!F17+'40'!F17+'42'!F17+'45'!F17+'48'!F17+'50'!F17+'55'!F17+'61'!F17+'76'!F17+'КЛ 77'!F17+'78'!F17+КТЛ!F17+'83'!F17+'3'!F18+'110'!F17+'116'!F17+'117'!F17+'1'!F18+'2'!F18</f>
        <v>0</v>
      </c>
      <c r="G17" s="24">
        <f>'27'!G17+'37'!G17+'38'!G17+'40'!G17+'42'!G17+'45'!G17+'48'!G17+'50'!G17+'55'!G17+'61'!G17+'76'!G17+'КЛ 77'!G17+'78'!G17+КТЛ!G17+'83'!G17+'3'!G18+'110'!G17+'116'!G17+'117'!G17+'1'!G18+'2'!G18</f>
        <v>8364752.040000001</v>
      </c>
      <c r="H17" s="24">
        <f>'27'!H17+'37'!H17+'38'!H17+'40'!H17+'42'!H17+'45'!H17+'48'!H17+'50'!H17+'55'!H17+'61'!H17+'76'!H17+'КЛ 77'!H17+'78'!H17+КТЛ!H17+'83'!H17+'3'!H18+'110'!H17+'116'!H17+'117'!H17+'1'!H18+'2'!H18</f>
        <v>8364752.040000001</v>
      </c>
      <c r="I17" s="24">
        <f>'27'!I17+'37'!I17+'38'!I17+'40'!I17+'42'!I17+'45'!I17+'48'!I17+'50'!I17+'55'!I17+'61'!I17+'76'!I17+'КЛ 77'!I17+'78'!I17+КТЛ!I17+'83'!I17+'3'!I18+'110'!I17+'116'!I17+'117'!I17+'1'!I18+'2'!I18</f>
        <v>0</v>
      </c>
      <c r="J17" s="24">
        <f>'27'!J17+'37'!J17+'38'!J17+'40'!J17+'42'!J17+'45'!J17+'48'!J17+'50'!J17+'55'!J17+'61'!J17+'76'!J17+'КЛ 77'!J17+'78'!J17+КТЛ!J17+'83'!J17+'3'!J18+'110'!J17+'116'!J17+'117'!J17+'1'!J18+'2'!J18</f>
        <v>8099411.8399999989</v>
      </c>
      <c r="K17" s="24">
        <f>'27'!K17+'37'!K17+'38'!K17+'40'!K17+'42'!K17+'45'!K17+'48'!K17+'50'!K17+'55'!K17+'61'!K17+'76'!K17+'КЛ 77'!K17+'78'!K17+КТЛ!K17+'83'!K17+'3'!K18+'110'!K17+'116'!K17+'117'!K17+'1'!K18+'2'!K18</f>
        <v>8099411.8399999989</v>
      </c>
      <c r="L17" s="24">
        <f>'27'!L17+'37'!L17+'38'!L17+'40'!L17+'42'!L17+'45'!L17+'48'!L17+'50'!L17+'55'!L17+'61'!L17+'76'!L17+'КЛ 77'!L17+'78'!L17+КТЛ!L17+'83'!L17+'3'!L18+'110'!L17+'116'!L17+'117'!L17+'1'!L18+'2'!L18</f>
        <v>0</v>
      </c>
      <c r="M17" s="24">
        <f>'27'!M17+'37'!M17+'38'!M17+'40'!M17+'42'!M17+'45'!M17+'48'!M17+'50'!M17+'55'!M17+'61'!M17+'76'!M17+'КЛ 77'!M17+'78'!M17+КТЛ!M17+'83'!M17+'3'!M18+'110'!M17+'116'!M17+'117'!M17+'1'!M18+'2'!M18</f>
        <v>3863578.1999999997</v>
      </c>
      <c r="N17" s="24">
        <f>'27'!N17+'37'!N17+'38'!N17+'40'!N17+'42'!N17+'45'!N17+'48'!N17+'50'!N17+'55'!N17+'61'!N17+'76'!N17+'КЛ 77'!N17+'78'!N17+КТЛ!N17+'83'!N17+'3'!N18+'110'!N17+'116'!N17+'117'!N17+'1'!N18+'2'!N18</f>
        <v>3863578.1999999997</v>
      </c>
      <c r="O17" s="24">
        <f>'27'!O17+'37'!O17+'38'!O17+'40'!O17+'42'!O17+'45'!O17+'48'!O17+'50'!O17+'55'!O17+'61'!O17+'76'!O17+'КЛ 77'!O17+'78'!O17+КТЛ!O17+'83'!O17+'3'!O18+'110'!O17+'116'!O17+'117'!O17+'1'!O18+'2'!O18</f>
        <v>0</v>
      </c>
      <c r="P17" s="24">
        <f>'27'!P17+'37'!P17+'38'!P17+'40'!P17+'42'!P17+'45'!P17+'48'!P17+'50'!P17+'55'!P17+'61'!P17+'76'!P17+'КЛ 77'!P17+'78'!P17+КТЛ!P17+'83'!P17+'3'!P18+'110'!P17+'116'!P17+'117'!P17+'1'!P18+'2'!P18</f>
        <v>0</v>
      </c>
      <c r="Q17" s="24">
        <f>'27'!Q17+'37'!Q17+'38'!Q17+'40'!Q17+'42'!Q17+'45'!Q17+'48'!Q17+'50'!Q17+'55'!Q17+'61'!Q17+'76'!Q17+'КЛ 77'!Q17+'78'!Q17+КТЛ!Q17+'83'!Q17+'3'!Q18+'110'!Q17+'116'!Q17+'117'!Q17+'1'!Q18+'2'!Q18</f>
        <v>0</v>
      </c>
      <c r="R17" s="24">
        <f>'27'!R17+'37'!R17+'38'!R17+'40'!R17+'42'!R17+'45'!R17+'48'!R17+'50'!R17+'55'!R17+'61'!R17+'76'!R17+'КЛ 77'!R17+'78'!R17+КТЛ!R17+'83'!R17+'3'!R18+'110'!R17+'116'!R17+'117'!R17+'1'!R18+'2'!R18</f>
        <v>0</v>
      </c>
      <c r="S17" s="24">
        <f>'27'!S17+'37'!S17+'38'!S17+'40'!S17+'42'!S17+'45'!S17+'48'!S17+'50'!S17+'55'!S17+'61'!S17+'76'!S17+'КЛ 77'!S17+'78'!S17+КТЛ!S17+'83'!S17+'3'!S18+'110'!S17+'116'!S17+'117'!S17+'1'!S18+'2'!S18</f>
        <v>0</v>
      </c>
      <c r="T17" s="24">
        <f>'27'!T17+'37'!T17+'38'!T17+'40'!T17+'42'!T17+'45'!T17+'48'!T17+'50'!T17+'55'!T17+'61'!T17+'76'!T17+'КЛ 77'!T17+'78'!T17+КТЛ!T17+'83'!T17+'3'!T18+'110'!T17+'116'!T17+'117'!T17+'1'!T18+'2'!T18</f>
        <v>0</v>
      </c>
      <c r="U17" s="24">
        <f>'27'!U17+'37'!U17+'38'!U17+'40'!U17+'42'!U17+'45'!U17+'48'!U17+'50'!U17+'55'!U17+'61'!U17+'76'!U17+'КЛ 77'!U17+'78'!U17+КТЛ!U17+'83'!U17+'3'!U18+'110'!U17+'116'!U17+'117'!U17+'1'!U18+'2'!U18</f>
        <v>0</v>
      </c>
      <c r="V17" s="24">
        <f>'27'!V17+'37'!V17+'38'!V17+'40'!V17+'42'!V17+'45'!V17+'48'!V17+'50'!V17+'55'!V17+'61'!V17+'76'!V17+'КЛ 77'!V17+'78'!V17+КТЛ!V17+'83'!V17+'3'!V18+'110'!V17+'116'!V17+'117'!V17+'1'!V18+'2'!V18</f>
        <v>0</v>
      </c>
      <c r="W17" s="24">
        <f>'27'!W17+'37'!W17+'38'!W17+'40'!W17+'42'!W17+'45'!W17+'48'!W17+'50'!W17+'55'!W17+'61'!W17+'76'!W17+'КЛ 77'!W17+'78'!W17+КТЛ!W17+'83'!W17+'3'!W18+'110'!W17+'116'!W17+'117'!W17+'1'!W18+'2'!W18</f>
        <v>0</v>
      </c>
      <c r="X17" s="24">
        <f>'27'!X17+'37'!X17+'38'!X17+'40'!X17+'42'!X17+'45'!X17+'48'!X17+'50'!X17+'55'!X17+'61'!X17+'76'!X17+'КЛ 77'!X17+'78'!X17+КТЛ!X17+'83'!X17+'3'!X18+'110'!X17+'116'!X17+'117'!X17+'1'!X18+'2'!X18</f>
        <v>0</v>
      </c>
      <c r="Y17" s="24">
        <f>'27'!Y17+'37'!Y17+'38'!Y17+'40'!Y17+'42'!Y17+'45'!Y17+'48'!Y17+'50'!Y17+'55'!Y17+'61'!Y17+'76'!Y17+'КЛ 77'!Y17+'78'!Y17+КТЛ!Y17+'83'!Y17+'3'!Y18+'110'!Y17+'116'!Y17+'117'!Y17+'1'!Y18+'2'!Y18</f>
        <v>0</v>
      </c>
      <c r="Z17" s="24">
        <f>'27'!Z17+'37'!Z17+'38'!Z17+'40'!Z17+'42'!Z17+'45'!Z17+'48'!Z17+'50'!Z17+'55'!Z17+'61'!Z17+'76'!Z17+'КЛ 77'!Z17+'78'!Z17+КТЛ!Z17+'83'!Z17+'3'!Z18+'110'!Z17+'116'!Z17+'117'!Z17+'1'!Z18+'2'!Z18</f>
        <v>0</v>
      </c>
      <c r="AA17" s="24">
        <f>'27'!AA17+'37'!AA17+'38'!AA17+'40'!AA17+'42'!AA17+'45'!AA17+'48'!AA17+'50'!AA17+'55'!AA17+'61'!AA17+'76'!AA17+'КЛ 77'!AA17+'78'!AA17+КТЛ!AA17+'83'!AA17+'3'!AA18+'110'!AA17+'116'!AA17+'117'!AA17+'1'!AA18+'2'!AA18</f>
        <v>0</v>
      </c>
      <c r="AB17" s="24">
        <f>'27'!AB17+'37'!AB17+'38'!AB17+'40'!AB17+'42'!AB17+'45'!AB17+'48'!AB17+'50'!AB17+'55'!AB17+'61'!AB17+'76'!AB17+'КЛ 77'!AB17+'78'!AB17+КТЛ!AB17+'83'!AB17+'3'!AB18+'110'!AB17+'116'!AB17+'117'!AB17+'1'!AB18+'2'!AB18</f>
        <v>0</v>
      </c>
      <c r="AC17" s="24">
        <f>'27'!AC17+'37'!AC17+'38'!AC17+'40'!AC17+'42'!AC17+'45'!AC17+'48'!AC17+'50'!AC17+'55'!AC17+'61'!AC17+'76'!AC17+'КЛ 77'!AC17+'78'!AC17+КТЛ!AC17+'83'!AC17+'3'!AC18+'110'!AC17+'116'!AC17+'117'!AC17+'1'!AC18+'2'!AC18</f>
        <v>0</v>
      </c>
      <c r="AD17" s="24">
        <f>'27'!AD17+'37'!AD17+'38'!AD17+'40'!AD17+'42'!AD17+'45'!AD17+'48'!AD17+'50'!AD17+'55'!AD17+'61'!AD17+'76'!AD17+'КЛ 77'!AD17+'78'!AD17+КТЛ!AD17+'83'!AD17+'3'!AD18+'110'!AD17+'116'!AD17+'117'!AD17+'1'!AD18+'2'!AD18</f>
        <v>0</v>
      </c>
      <c r="AE17" s="24">
        <f>'27'!AE17+'37'!AE17+'38'!AE17+'40'!AE17+'42'!AE17+'45'!AE17+'48'!AE17+'50'!AE17+'55'!AE17+'61'!AE17+'76'!AE17+'КЛ 77'!AE17+'78'!AE17+КТЛ!AE17+'83'!AE17+'3'!AE18+'110'!AE17+'116'!AE17+'117'!AE17+'1'!AE18+'2'!AE18</f>
        <v>0</v>
      </c>
      <c r="AF17" s="24">
        <f>'27'!AF17+'37'!AF17+'38'!AF17+'40'!AF17+'42'!AF17+'45'!AF17+'48'!AF17+'50'!AF17+'55'!AF17+'61'!AF17+'76'!AF17+'КЛ 77'!AF17+'78'!AF17+КТЛ!AF17+'83'!AF17+'3'!AF18+'110'!AF17+'116'!AF17+'117'!AF17+'1'!AF18+'2'!AF18</f>
        <v>0</v>
      </c>
      <c r="AG17" s="24">
        <f>'27'!AG17+'37'!AG17+'38'!AG17+'40'!AG17+'42'!AG17+'45'!AG17+'48'!AG17+'50'!AG17+'55'!AG17+'61'!AG17+'76'!AG17+'КЛ 77'!AG17+'78'!AG17+КТЛ!AG17+'83'!AG17+'3'!AG18+'110'!AG17+'116'!AG17+'117'!AG17+'1'!AG18+'2'!AG18</f>
        <v>0</v>
      </c>
      <c r="AH17" s="24">
        <f>'27'!AH17+'37'!AH17+'38'!AH17+'40'!AH17+'42'!AH17+'45'!AH17+'48'!AH17+'50'!AH17+'55'!AH17+'61'!AH17+'76'!AH17+'КЛ 77'!AH17+'78'!AH17+КТЛ!AH17+'83'!AH17+'3'!AH18+'110'!AH17+'116'!AH17+'117'!AH17+'1'!AH18+'2'!AH18</f>
        <v>0</v>
      </c>
      <c r="AI17" s="24">
        <f>'27'!AI17+'37'!AI17+'38'!AI17+'40'!AI17+'42'!AI17+'45'!AI17+'48'!AI17+'50'!AI17+'55'!AI17+'61'!AI17+'76'!AI17+'КЛ 77'!AI17+'78'!AI17+КТЛ!AI17+'83'!AI17+'3'!AI18+'110'!AI17+'116'!AI17+'117'!AI17+'1'!AI18+'2'!AI18</f>
        <v>0</v>
      </c>
      <c r="AJ17" s="24">
        <f>'27'!AJ17+'37'!AJ17+'38'!AJ17+'40'!AJ17+'42'!AJ17+'45'!AJ17+'48'!AJ17+'50'!AJ17+'55'!AJ17+'61'!AJ17+'76'!AJ17+'КЛ 77'!AJ17+'78'!AJ17+КТЛ!AJ17+'83'!AJ17+'3'!AJ18+'110'!AJ17+'116'!AJ17+'117'!AJ17+'1'!AJ18+'2'!AJ18</f>
        <v>0</v>
      </c>
      <c r="AK17" s="24">
        <f>'27'!AK17+'37'!AK17+'38'!AK17+'40'!AK17+'42'!AK17+'45'!AK17+'48'!AK17+'50'!AK17+'55'!AK17+'61'!AK17+'76'!AK17+'КЛ 77'!AK17+'78'!AK17+КТЛ!AK17+'83'!AK17+'3'!AK18+'110'!AK17+'116'!AK17+'117'!AK17+'1'!AK18+'2'!AK18</f>
        <v>0</v>
      </c>
      <c r="AL17" s="24">
        <f>'27'!AL17+'37'!AL17+'38'!AL17+'40'!AL17+'42'!AL17+'45'!AL17+'48'!AL17+'50'!AL17+'55'!AL17+'61'!AL17+'76'!AL17+'КЛ 77'!AL17+'78'!AL17+КТЛ!AL17+'83'!AL17+'3'!AL18+'110'!AL17+'116'!AL17+'117'!AL17+'1'!AL18+'2'!AL18</f>
        <v>0</v>
      </c>
      <c r="AM17" s="26">
        <f>'27'!AM17+'37'!AM17+'38'!AM17+'40'!AM17+'42'!AM17+'45'!AM17+'48'!AM17+'50'!AM17+'55'!AM17+'61'!AM17+'76'!AM17+'КЛ 77'!AM17+'78'!AM17+КТЛ!AM17+'83'!AM17+'3'!AM18+'110'!AM17+'116'!AM17+'117'!AM17+'1'!AM18+'2'!AM18</f>
        <v>0</v>
      </c>
      <c r="AN17" s="26">
        <f>'27'!AN17+'37'!AN17+'38'!AN17+'40'!AN17+'42'!AN17+'45'!AN17+'48'!AN17+'50'!AN17+'55'!AN17+'61'!AN17+'76'!AN17+'КЛ 77'!AN17+'78'!AN17+КТЛ!AN17+'83'!AN17+'3'!AN18+'110'!AN17+'116'!AN17+'117'!AN17+'1'!AN18+'2'!AN18</f>
        <v>20327742.079999998</v>
      </c>
      <c r="AO17" s="42">
        <f>'27'!AO17+'37'!AO17+'38'!AO17+'40'!AO17+'42'!AO17+'45'!AO17+'48'!AO17+'50'!AO17+'55'!AO17+'61'!AO17+'76'!AO17+'КЛ 77'!AO17+'78'!AO17+КТЛ!AO17+'83'!AO17+'3'!AO18+'110'!AO17+'116'!AO17+'117'!AO17+'1'!AO18+'2'!AO18</f>
        <v>20327742.079999998</v>
      </c>
      <c r="AP17" s="39"/>
      <c r="AQ17" s="28">
        <v>2271</v>
      </c>
    </row>
    <row r="18" spans="1:44" s="28" customFormat="1" ht="20.100000000000001" customHeight="1">
      <c r="A18" s="23">
        <v>2272</v>
      </c>
      <c r="B18" s="23" t="s">
        <v>9</v>
      </c>
      <c r="C18" s="24">
        <f>'27'!C18+'37'!C18+'38'!C18+'40'!C18+'42'!C18+'45'!C18+'48'!C18+'50'!C18+'55'!C18+'61'!C18+'76'!C18+'КЛ 77'!C18+'78'!C18+КТЛ!C18+'83'!C18+'3'!C19+'110'!C18+'116'!C18+'117'!C18+'1'!C19+'2'!C19</f>
        <v>0</v>
      </c>
      <c r="D18" s="24">
        <f>'27'!D18+'37'!D18+'38'!D18+'40'!D18+'42'!D18+'45'!D18+'48'!D18+'50'!D18+'55'!D18+'61'!D18+'76'!D18+'КЛ 77'!D18+'78'!D18+КТЛ!D18+'83'!D18+'3'!D19+'110'!D18+'116'!D18+'117'!D18+'1'!D19+'2'!D19</f>
        <v>71125.75</v>
      </c>
      <c r="E18" s="24">
        <f t="shared" si="0"/>
        <v>71125.75</v>
      </c>
      <c r="F18" s="24">
        <f>'27'!F18+'37'!F18+'38'!F18+'40'!F18+'42'!F18+'45'!F18+'48'!F18+'50'!F18+'55'!F18+'61'!F18+'76'!F18+'КЛ 77'!F18+'78'!F18+КТЛ!F18+'83'!F18+'3'!F19+'110'!F18+'116'!F18+'117'!F18+'1'!F19+'2'!F19</f>
        <v>0</v>
      </c>
      <c r="G18" s="24">
        <f>'27'!G18+'37'!G18+'38'!G18+'40'!G18+'42'!G18+'45'!G18+'48'!G18+'50'!G18+'55'!G18+'61'!G18+'76'!G18+'КЛ 77'!G18+'78'!G18+КТЛ!G18+'83'!G18+'3'!G19+'110'!G18+'116'!G18+'117'!G18+'1'!G19+'2'!G19</f>
        <v>92152.640000000014</v>
      </c>
      <c r="H18" s="24">
        <f>'27'!H18+'37'!H18+'38'!H18+'40'!H18+'42'!H18+'45'!H18+'48'!H18+'50'!H18+'55'!H18+'61'!H18+'76'!H18+'КЛ 77'!H18+'78'!H18+КТЛ!H18+'83'!H18+'3'!H19+'110'!H18+'116'!H18+'117'!H18+'1'!H19+'2'!H19</f>
        <v>92152.640000000014</v>
      </c>
      <c r="I18" s="24">
        <f>'27'!I18+'37'!I18+'38'!I18+'40'!I18+'42'!I18+'45'!I18+'48'!I18+'50'!I18+'55'!I18+'61'!I18+'76'!I18+'КЛ 77'!I18+'78'!I18+КТЛ!I18+'83'!I18+'3'!I19+'110'!I18+'116'!I18+'117'!I18+'1'!I19+'2'!I19</f>
        <v>0</v>
      </c>
      <c r="J18" s="24">
        <f>'27'!J18+'37'!J18+'38'!J18+'40'!J18+'42'!J18+'45'!J18+'48'!J18+'50'!J18+'55'!J18+'61'!J18+'76'!J18+'КЛ 77'!J18+'78'!J18+КТЛ!J18+'83'!J18+'3'!J19+'110'!J18+'116'!J18+'117'!J18+'1'!J19+'2'!J19</f>
        <v>105469.21</v>
      </c>
      <c r="K18" s="24">
        <f>'27'!K18+'37'!K18+'38'!K18+'40'!K18+'42'!K18+'45'!K18+'48'!K18+'50'!K18+'55'!K18+'61'!K18+'76'!K18+'КЛ 77'!K18+'78'!K18+КТЛ!K18+'83'!K18+'3'!K19+'110'!K18+'116'!K18+'117'!K18+'1'!K19+'2'!K19</f>
        <v>105469.21</v>
      </c>
      <c r="L18" s="24">
        <f>'27'!L18+'37'!L18+'38'!L18+'40'!L18+'42'!L18+'45'!L18+'48'!L18+'50'!L18+'55'!L18+'61'!L18+'76'!L18+'КЛ 77'!L18+'78'!L18+КТЛ!L18+'83'!L18+'3'!L19+'110'!L18+'116'!L18+'117'!L18+'1'!L19+'2'!L19</f>
        <v>0</v>
      </c>
      <c r="M18" s="24">
        <f>'27'!M18+'37'!M18+'38'!M18+'40'!M18+'42'!M18+'45'!M18+'48'!M18+'50'!M18+'55'!M18+'61'!M18+'76'!M18+'КЛ 77'!M18+'78'!M18+КТЛ!M18+'83'!M18+'3'!M19+'110'!M18+'116'!M18+'117'!M18+'1'!M19+'2'!M19</f>
        <v>80859.09</v>
      </c>
      <c r="N18" s="24">
        <f>'27'!N18+'37'!N18+'38'!N18+'40'!N18+'42'!N18+'45'!N18+'48'!N18+'50'!N18+'55'!N18+'61'!N18+'76'!N18+'КЛ 77'!N18+'78'!N18+КТЛ!N18+'83'!N18+'3'!N19+'110'!N18+'116'!N18+'117'!N18+'1'!N19+'2'!N19</f>
        <v>80859.09</v>
      </c>
      <c r="O18" s="24">
        <f>'27'!O18+'37'!O18+'38'!O18+'40'!O18+'42'!O18+'45'!O18+'48'!O18+'50'!O18+'55'!O18+'61'!O18+'76'!O18+'КЛ 77'!O18+'78'!O18+КТЛ!O18+'83'!O18+'3'!O19+'110'!O18+'116'!O18+'117'!O18+'1'!O19+'2'!O19</f>
        <v>0</v>
      </c>
      <c r="P18" s="24">
        <f>'27'!P18+'37'!P18+'38'!P18+'40'!P18+'42'!P18+'45'!P18+'48'!P18+'50'!P18+'55'!P18+'61'!P18+'76'!P18+'КЛ 77'!P18+'78'!P18+КТЛ!P18+'83'!P18+'3'!P19+'110'!P18+'116'!P18+'117'!P18+'1'!P19+'2'!P19</f>
        <v>102648.97999999998</v>
      </c>
      <c r="Q18" s="24">
        <f>'27'!Q18+'37'!Q18+'38'!Q18+'40'!Q18+'42'!Q18+'45'!Q18+'48'!Q18+'50'!Q18+'55'!Q18+'61'!Q18+'76'!Q18+'КЛ 77'!Q18+'78'!Q18+КТЛ!Q18+'83'!Q18+'3'!Q19+'110'!Q18+'116'!Q18+'117'!Q18+'1'!Q19+'2'!Q19</f>
        <v>102648.97999999998</v>
      </c>
      <c r="R18" s="24">
        <f>'27'!R18+'37'!R18+'38'!R18+'40'!R18+'42'!R18+'45'!R18+'48'!R18+'50'!R18+'55'!R18+'61'!R18+'76'!R18+'КЛ 77'!R18+'78'!R18+КТЛ!R18+'83'!R18+'3'!R19+'110'!R18+'116'!R18+'117'!R18+'1'!R19+'2'!R19</f>
        <v>0</v>
      </c>
      <c r="S18" s="24">
        <f>'27'!S18+'37'!S18+'38'!S18+'40'!S18+'42'!S18+'45'!S18+'48'!S18+'50'!S18+'55'!S18+'61'!S18+'76'!S18+'КЛ 77'!S18+'78'!S18+КТЛ!S18+'83'!S18+'3'!S19+'110'!S18+'116'!S18+'117'!S18+'1'!S19+'2'!S19</f>
        <v>82743.5</v>
      </c>
      <c r="T18" s="24">
        <f>'27'!T18+'37'!T18+'38'!T18+'40'!T18+'42'!T18+'45'!T18+'48'!T18+'50'!T18+'55'!T18+'61'!T18+'76'!T18+'КЛ 77'!T18+'78'!T18+КТЛ!T18+'83'!T18+'3'!T19+'110'!T18+'116'!T18+'117'!T18+'1'!T19+'2'!T19</f>
        <v>82743.5</v>
      </c>
      <c r="U18" s="24">
        <f>'27'!U18+'37'!U18+'38'!U18+'40'!U18+'42'!U18+'45'!U18+'48'!U18+'50'!U18+'55'!U18+'61'!U18+'76'!U18+'КЛ 77'!U18+'78'!U18+КТЛ!U18+'83'!U18+'3'!U19+'110'!U18+'116'!U18+'117'!U18+'1'!U19+'2'!U19</f>
        <v>0</v>
      </c>
      <c r="V18" s="24">
        <f>'27'!V18+'37'!V18+'38'!V18+'40'!V18+'42'!V18+'45'!V18+'48'!V18+'50'!V18+'55'!V18+'61'!V18+'76'!V18+'КЛ 77'!V18+'78'!V18+КТЛ!V18+'83'!V18+'3'!V19+'110'!V18+'116'!V18+'117'!V18+'1'!V19+'2'!V19</f>
        <v>40352.979999999996</v>
      </c>
      <c r="W18" s="24">
        <f>'27'!W18+'37'!W18+'38'!W18+'40'!W18+'42'!W18+'45'!W18+'48'!W18+'50'!W18+'55'!W18+'61'!W18+'76'!W18+'КЛ 77'!W18+'78'!W18+КТЛ!W18+'83'!W18+'3'!W19+'110'!W18+'116'!W18+'117'!W18+'1'!W19+'2'!W19</f>
        <v>40352.979999999996</v>
      </c>
      <c r="X18" s="24">
        <f>'27'!X18+'37'!X18+'38'!X18+'40'!X18+'42'!X18+'45'!X18+'48'!X18+'50'!X18+'55'!X18+'61'!X18+'76'!X18+'КЛ 77'!X18+'78'!X18+КТЛ!X18+'83'!X18+'3'!X19+'110'!X18+'116'!X18+'117'!X18+'1'!X19+'2'!X19</f>
        <v>0</v>
      </c>
      <c r="Y18" s="24">
        <f>'27'!Y18+'37'!Y18+'38'!Y18+'40'!Y18+'42'!Y18+'45'!Y18+'48'!Y18+'50'!Y18+'55'!Y18+'61'!Y18+'76'!Y18+'КЛ 77'!Y18+'78'!Y18+КТЛ!Y18+'83'!Y18+'3'!Y19+'110'!Y18+'116'!Y18+'117'!Y18+'1'!Y19+'2'!Y19</f>
        <v>32796.1</v>
      </c>
      <c r="Z18" s="25">
        <f>'27'!Z18+'37'!Z18+'38'!Z18+'40'!Z18+'42'!Z18+'45'!Z18+'48'!Z18+'50'!Z18+'55'!Z18+'61'!Z18+'76'!Z18+'КЛ 77'!Z18+'78'!Z18+КТЛ!Z18+'83'!Z18+'3'!Z19+'110'!Z18+'116'!Z18+'117'!Z18+'1'!Z19+'2'!Z19</f>
        <v>32796.1</v>
      </c>
      <c r="AA18" s="24">
        <f>'27'!AA18+'37'!AA18+'38'!AA18+'40'!AA18+'42'!AA18+'45'!AA18+'48'!AA18+'50'!AA18+'55'!AA18+'61'!AA18+'76'!AA18+'КЛ 77'!AA18+'78'!AA18+КТЛ!AA18+'83'!AA18+'3'!AA19+'110'!AA18+'116'!AA18+'117'!AA18+'1'!AA19+'2'!AA19</f>
        <v>0</v>
      </c>
      <c r="AB18" s="24">
        <f>'27'!AB18+'37'!AB18+'38'!AB18+'40'!AB18+'42'!AB18+'45'!AB18+'48'!AB18+'50'!AB18+'55'!AB18+'61'!AB18+'76'!AB18+'КЛ 77'!AB18+'78'!AB18+КТЛ!AB18+'83'!AB18+'3'!AB19+'110'!AB18+'116'!AB18+'117'!AB18+'1'!AB19+'2'!AB19</f>
        <v>77208.42</v>
      </c>
      <c r="AC18" s="24">
        <f>'27'!AC18+'37'!AC18+'38'!AC18+'40'!AC18+'42'!AC18+'45'!AC18+'48'!AC18+'50'!AC18+'55'!AC18+'61'!AC18+'76'!AC18+'КЛ 77'!AC18+'78'!AC18+КТЛ!AC18+'83'!AC18+'3'!AC19+'110'!AC18+'116'!AC18+'117'!AC18+'1'!AC19+'2'!AC19</f>
        <v>77208.42</v>
      </c>
      <c r="AD18" s="24">
        <f>'27'!AD18+'37'!AD18+'38'!AD18+'40'!AD18+'42'!AD18+'45'!AD18+'48'!AD18+'50'!AD18+'55'!AD18+'61'!AD18+'76'!AD18+'КЛ 77'!AD18+'78'!AD18+КТЛ!AD18+'83'!AD18+'3'!AD19+'110'!AD18+'116'!AD18+'117'!AD18+'1'!AD19+'2'!AD19</f>
        <v>0</v>
      </c>
      <c r="AE18" s="24">
        <f>'27'!AE18+'37'!AE18+'38'!AE18+'40'!AE18+'42'!AE18+'45'!AE18+'48'!AE18+'50'!AE18+'55'!AE18+'61'!AE18+'76'!AE18+'КЛ 77'!AE18+'78'!AE18+КТЛ!AE18+'83'!AE18+'3'!AE19+'110'!AE18+'116'!AE18+'117'!AE18+'1'!AE19+'2'!AE19</f>
        <v>0</v>
      </c>
      <c r="AF18" s="24">
        <f>'27'!AF18+'37'!AF18+'38'!AF18+'40'!AF18+'42'!AF18+'45'!AF18+'48'!AF18+'50'!AF18+'55'!AF18+'61'!AF18+'76'!AF18+'КЛ 77'!AF18+'78'!AF18+КТЛ!AF18+'83'!AF18+'3'!AF19+'110'!AF18+'116'!AF18+'117'!AF18+'1'!AF19+'2'!AF19</f>
        <v>0</v>
      </c>
      <c r="AG18" s="24">
        <f>'27'!AG18+'37'!AG18+'38'!AG18+'40'!AG18+'42'!AG18+'45'!AG18+'48'!AG18+'50'!AG18+'55'!AG18+'61'!AG18+'76'!AG18+'КЛ 77'!AG18+'78'!AG18+КТЛ!AG18+'83'!AG18+'3'!AG19+'110'!AG18+'116'!AG18+'117'!AG18+'1'!AG19+'2'!AG19</f>
        <v>0</v>
      </c>
      <c r="AH18" s="24">
        <f>'27'!AH18+'37'!AH18+'38'!AH18+'40'!AH18+'42'!AH18+'45'!AH18+'48'!AH18+'50'!AH18+'55'!AH18+'61'!AH18+'76'!AH18+'КЛ 77'!AH18+'78'!AH18+КТЛ!AH18+'83'!AH18+'3'!AH19+'110'!AH18+'116'!AH18+'117'!AH18+'1'!AH19+'2'!AH19</f>
        <v>0</v>
      </c>
      <c r="AI18" s="24">
        <f>'27'!AI18+'37'!AI18+'38'!AI18+'40'!AI18+'42'!AI18+'45'!AI18+'48'!AI18+'50'!AI18+'55'!AI18+'61'!AI18+'76'!AI18+'КЛ 77'!AI18+'78'!AI18+КТЛ!AI18+'83'!AI18+'3'!AI19+'110'!AI18+'116'!AI18+'117'!AI18+'1'!AI19+'2'!AI19</f>
        <v>0</v>
      </c>
      <c r="AJ18" s="24">
        <f>'27'!AJ18+'37'!AJ18+'38'!AJ18+'40'!AJ18+'42'!AJ18+'45'!AJ18+'48'!AJ18+'50'!AJ18+'55'!AJ18+'61'!AJ18+'76'!AJ18+'КЛ 77'!AJ18+'78'!AJ18+КТЛ!AJ18+'83'!AJ18+'3'!AJ19+'110'!AJ18+'116'!AJ18+'117'!AJ18+'1'!AJ19+'2'!AJ19</f>
        <v>0</v>
      </c>
      <c r="AK18" s="24">
        <f>'27'!AK18+'37'!AK18+'38'!AK18+'40'!AK18+'42'!AK18+'45'!AK18+'48'!AK18+'50'!AK18+'55'!AK18+'61'!AK18+'76'!AK18+'КЛ 77'!AK18+'78'!AK18+КТЛ!AK18+'83'!AK18+'3'!AK19+'110'!AK18+'116'!AK18+'117'!AK18+'1'!AK19+'2'!AK19</f>
        <v>0</v>
      </c>
      <c r="AL18" s="24">
        <f>'27'!AL18+'37'!AL18+'38'!AL18+'40'!AL18+'42'!AL18+'45'!AL18+'48'!AL18+'50'!AL18+'55'!AL18+'61'!AL18+'76'!AL18+'КЛ 77'!AL18+'78'!AL18+КТЛ!AL18+'83'!AL18+'3'!AL19+'110'!AL18+'116'!AL18+'117'!AL18+'1'!AL19+'2'!AL19</f>
        <v>0</v>
      </c>
      <c r="AM18" s="26">
        <f>'27'!AM18+'37'!AM18+'38'!AM18+'40'!AM18+'42'!AM18+'45'!AM18+'48'!AM18+'50'!AM18+'55'!AM18+'61'!AM18+'76'!AM18+'КЛ 77'!AM18+'78'!AM18+КТЛ!AM18+'83'!AM18+'3'!AM19+'110'!AM18+'116'!AM18+'117'!AM18+'1'!AM19+'2'!AM19</f>
        <v>0</v>
      </c>
      <c r="AN18" s="26">
        <f>'27'!AN18+'37'!AN18+'38'!AN18+'40'!AN18+'42'!AN18+'45'!AN18+'48'!AN18+'50'!AN18+'55'!AN18+'61'!AN18+'76'!AN18+'КЛ 77'!AN18+'78'!AN18+КТЛ!AN18+'83'!AN18+'3'!AN19+'110'!AN18+'116'!AN18+'117'!AN18+'1'!AN19+'2'!AN19</f>
        <v>685356.66999999993</v>
      </c>
      <c r="AO18" s="42">
        <f>'27'!AO18+'37'!AO18+'38'!AO18+'40'!AO18+'42'!AO18+'45'!AO18+'48'!AO18+'50'!AO18+'55'!AO18+'61'!AO18+'76'!AO18+'КЛ 77'!AO18+'78'!AO18+КТЛ!AO18+'83'!AO18+'3'!AO19+'110'!AO18+'116'!AO18+'117'!AO18+'1'!AO19+'2'!AO19</f>
        <v>685356.66999999993</v>
      </c>
      <c r="AP18" s="39"/>
      <c r="AQ18" s="28">
        <v>2272</v>
      </c>
    </row>
    <row r="19" spans="1:44" s="28" customFormat="1" ht="20.100000000000001" customHeight="1">
      <c r="A19" s="23">
        <v>2273</v>
      </c>
      <c r="B19" s="23" t="s">
        <v>10</v>
      </c>
      <c r="C19" s="24">
        <f>'27'!C19+'37'!C19+'38'!C19+'40'!C19+'42'!C19+'45'!C19+'48'!C19+'50'!C19+'55'!C19+'61'!C19+'76'!C19+'КЛ 77'!C19+'78'!C19+КТЛ!C19+'83'!C19+'3'!C20+'110'!C19+'116'!C19+'117'!C19+'1'!C20+'2'!C20</f>
        <v>0</v>
      </c>
      <c r="D19" s="24">
        <f>'27'!D19+'37'!D19+'38'!D19+'40'!D19+'42'!D19+'45'!D19+'48'!D19+'50'!D19+'55'!D19+'61'!D19+'76'!D19+'КЛ 77'!D19+'78'!D19+КТЛ!D19+'83'!D19+'3'!D20+'110'!D19+'116'!D19+'117'!D19+'1'!D20+'2'!D20</f>
        <v>0</v>
      </c>
      <c r="E19" s="24">
        <f t="shared" si="0"/>
        <v>0</v>
      </c>
      <c r="F19" s="24">
        <f>'27'!F19+'37'!F19+'38'!F19+'40'!F19+'42'!F19+'45'!F19+'48'!F19+'50'!F19+'55'!F19+'61'!F19+'76'!F19+'КЛ 77'!F19+'78'!F19+КТЛ!F19+'83'!F19+'3'!F20+'110'!F19+'116'!F19+'117'!F19+'1'!F20+'2'!F20</f>
        <v>0</v>
      </c>
      <c r="G19" s="24">
        <f>'27'!G19+'37'!G19+'38'!G19+'40'!G19+'42'!G19+'45'!G19+'48'!G19+'50'!G19+'55'!G19+'61'!G19+'76'!G19+'КЛ 77'!G19+'78'!G19+КТЛ!G19+'83'!G19+'3'!G20+'110'!G19+'116'!G19+'117'!G19+'1'!G20+'2'!G20</f>
        <v>859553.09000000008</v>
      </c>
      <c r="H19" s="24">
        <f>'27'!H19+'37'!H19+'38'!H19+'40'!H19+'42'!H19+'45'!H19+'48'!H19+'50'!H19+'55'!H19+'61'!H19+'76'!H19+'КЛ 77'!H19+'78'!H19+КТЛ!H19+'83'!H19+'3'!H20+'110'!H19+'116'!H19+'117'!H19+'1'!H20+'2'!H20</f>
        <v>859553.09000000008</v>
      </c>
      <c r="I19" s="24">
        <f>'27'!I19+'37'!I19+'38'!I19+'40'!I19+'42'!I19+'45'!I19+'48'!I19+'50'!I19+'55'!I19+'61'!I19+'76'!I19+'КЛ 77'!I19+'78'!I19+КТЛ!I19+'83'!I19+'3'!I20+'110'!I19+'116'!I19+'117'!I19+'1'!I20+'2'!I20</f>
        <v>0</v>
      </c>
      <c r="J19" s="24">
        <f>'27'!J19+'37'!J19+'38'!J19+'40'!J19+'42'!J19+'45'!J19+'48'!J19+'50'!J19+'55'!J19+'61'!J19+'76'!J19+'КЛ 77'!J19+'78'!J19+КТЛ!J19+'83'!J19+'3'!J20+'110'!J19+'116'!J19+'117'!J19+'1'!J20+'2'!J20</f>
        <v>1023289.6700000002</v>
      </c>
      <c r="K19" s="24">
        <f>'27'!K19+'37'!K19+'38'!K19+'40'!K19+'42'!K19+'45'!K19+'48'!K19+'50'!K19+'55'!K19+'61'!K19+'76'!K19+'КЛ 77'!K19+'78'!K19+КТЛ!K19+'83'!K19+'3'!K20+'110'!K19+'116'!K19+'117'!K19+'1'!K20+'2'!K20</f>
        <v>1023289.6700000002</v>
      </c>
      <c r="L19" s="24">
        <f>'27'!L19+'37'!L19+'38'!L19+'40'!L19+'42'!L19+'45'!L19+'48'!L19+'50'!L19+'55'!L19+'61'!L19+'76'!L19+'КЛ 77'!L19+'78'!L19+КТЛ!L19+'83'!L19+'3'!L20+'110'!L19+'116'!L19+'117'!L19+'1'!L20+'2'!L20</f>
        <v>0</v>
      </c>
      <c r="M19" s="24">
        <f>'27'!M19+'37'!M19+'38'!M19+'40'!M19+'42'!M19+'45'!M19+'48'!M19+'50'!M19+'55'!M19+'61'!M19+'76'!M19+'КЛ 77'!M19+'78'!M19+КТЛ!M19+'83'!M19+'3'!M20+'110'!M19+'116'!M19+'117'!M19+'1'!M20+'2'!M20</f>
        <v>968170.61</v>
      </c>
      <c r="N19" s="24">
        <f>'27'!N19+'37'!N19+'38'!N19+'40'!N19+'42'!N19+'45'!N19+'48'!N19+'50'!N19+'55'!N19+'61'!N19+'76'!N19+'КЛ 77'!N19+'78'!N19+КТЛ!N19+'83'!N19+'3'!N20+'110'!N19+'116'!N19+'117'!N19+'1'!N20+'2'!N20</f>
        <v>968170.61</v>
      </c>
      <c r="O19" s="24">
        <f>'27'!O19+'37'!O19+'38'!O19+'40'!O19+'42'!O19+'45'!O19+'48'!O19+'50'!O19+'55'!O19+'61'!O19+'76'!O19+'КЛ 77'!O19+'78'!O19+КТЛ!O19+'83'!O19+'3'!O20+'110'!O19+'116'!O19+'117'!O19+'1'!O20+'2'!O20</f>
        <v>0</v>
      </c>
      <c r="P19" s="24">
        <f>'27'!P19+'37'!P19+'38'!P19+'40'!P19+'42'!P19+'45'!P19+'48'!P19+'50'!P19+'55'!P19+'61'!P19+'76'!P19+'КЛ 77'!P19+'78'!P19+КТЛ!P19+'83'!P19+'3'!P20+'110'!P19+'116'!P19+'117'!P19+'1'!P20+'2'!P20</f>
        <v>922927.62000000011</v>
      </c>
      <c r="Q19" s="24">
        <f>'27'!Q19+'37'!Q19+'38'!Q19+'40'!Q19+'42'!Q19+'45'!Q19+'48'!Q19+'50'!Q19+'55'!Q19+'61'!Q19+'76'!Q19+'КЛ 77'!Q19+'78'!Q19+КТЛ!Q19+'83'!Q19+'3'!Q20+'110'!Q19+'116'!Q19+'117'!Q19+'1'!Q20+'2'!Q20</f>
        <v>922927.62000000011</v>
      </c>
      <c r="R19" s="24">
        <f>'27'!R19+'37'!R19+'38'!R19+'40'!R19+'42'!R19+'45'!R19+'48'!R19+'50'!R19+'55'!R19+'61'!R19+'76'!R19+'КЛ 77'!R19+'78'!R19+КТЛ!R19+'83'!R19+'3'!R20+'110'!R19+'116'!R19+'117'!R19+'1'!R20+'2'!R20</f>
        <v>0</v>
      </c>
      <c r="S19" s="24">
        <f>'27'!S19+'37'!S19+'38'!S19+'40'!S19+'42'!S19+'45'!S19+'48'!S19+'50'!S19+'55'!S19+'61'!S19+'76'!S19+'КЛ 77'!S19+'78'!S19+КТЛ!S19+'83'!S19+'3'!S20+'110'!S19+'116'!S19+'117'!S19+'1'!S20+'2'!S20</f>
        <v>695803.52</v>
      </c>
      <c r="T19" s="24">
        <f>'27'!T19+'37'!T19+'38'!T19+'40'!T19+'42'!T19+'45'!T19+'48'!T19+'50'!T19+'55'!T19+'61'!T19+'76'!T19+'КЛ 77'!T19+'78'!T19+КТЛ!T19+'83'!T19+'3'!T20+'110'!T19+'116'!T19+'117'!T19+'1'!T20+'2'!T20</f>
        <v>695803.52</v>
      </c>
      <c r="U19" s="24">
        <f>'27'!U19+'37'!U19+'38'!U19+'40'!U19+'42'!U19+'45'!U19+'48'!U19+'50'!U19+'55'!U19+'61'!U19+'76'!U19+'КЛ 77'!U19+'78'!U19+КТЛ!U19+'83'!U19+'3'!U20+'110'!U19+'116'!U19+'117'!U19+'1'!U20+'2'!U20</f>
        <v>0</v>
      </c>
      <c r="V19" s="24">
        <f>'27'!V19+'37'!V19+'38'!V19+'40'!V19+'42'!V19+'45'!V19+'48'!V19+'50'!V19+'55'!V19+'61'!V19+'76'!V19+'КЛ 77'!V19+'78'!V19+КТЛ!V19+'83'!V19+'3'!V20+'110'!V19+'116'!V19+'117'!V19+'1'!V20+'2'!V20</f>
        <v>213522.10000000003</v>
      </c>
      <c r="W19" s="24">
        <f>'27'!W19+'37'!W19+'38'!W19+'40'!W19+'42'!W19+'45'!W19+'48'!W19+'50'!W19+'55'!W19+'61'!W19+'76'!W19+'КЛ 77'!W19+'78'!W19+КТЛ!W19+'83'!W19+'3'!W20+'110'!W19+'116'!W19+'117'!W19+'1'!W20+'2'!W20</f>
        <v>213522.10000000003</v>
      </c>
      <c r="X19" s="24">
        <f>'27'!X19+'37'!X19+'38'!X19+'40'!X19+'42'!X19+'45'!X19+'48'!X19+'50'!X19+'55'!X19+'61'!X19+'76'!X19+'КЛ 77'!X19+'78'!X19+КТЛ!X19+'83'!X19+'3'!X20+'110'!X19+'116'!X19+'117'!X19+'1'!X20+'2'!X20</f>
        <v>0</v>
      </c>
      <c r="Y19" s="24">
        <f>'27'!Y19+'37'!Y19+'38'!Y19+'40'!Y19+'42'!Y19+'45'!Y19+'48'!Y19+'50'!Y19+'55'!Y19+'61'!Y19+'76'!Y19+'КЛ 77'!Y19+'78'!Y19+КТЛ!Y19+'83'!Y19+'3'!Y20+'110'!Y19+'116'!Y19+'117'!Y19+'1'!Y20+'2'!Y20</f>
        <v>116494.14000000001</v>
      </c>
      <c r="Z19" s="25">
        <f>'27'!Z19+'37'!Z19+'38'!Z19+'40'!Z19+'42'!Z19+'45'!Z19+'48'!Z19+'50'!Z19+'55'!Z19+'61'!Z19+'76'!Z19+'КЛ 77'!Z19+'78'!Z19+КТЛ!Z19+'83'!Z19+'3'!Z20+'110'!Z19+'116'!Z19+'117'!Z19+'1'!Z20+'2'!Z20</f>
        <v>116494.14000000001</v>
      </c>
      <c r="AA19" s="24">
        <f>'27'!AA19+'37'!AA19+'38'!AA19+'40'!AA19+'42'!AA19+'45'!AA19+'48'!AA19+'50'!AA19+'55'!AA19+'61'!AA19+'76'!AA19+'КЛ 77'!AA19+'78'!AA19+КТЛ!AA19+'83'!AA19+'3'!AA20+'110'!AA19+'116'!AA19+'117'!AA19+'1'!AA20+'2'!AA20</f>
        <v>0</v>
      </c>
      <c r="AB19" s="24">
        <f>'27'!AB19+'37'!AB19+'38'!AB19+'40'!AB19+'42'!AB19+'45'!AB19+'48'!AB19+'50'!AB19+'55'!AB19+'61'!AB19+'76'!AB19+'КЛ 77'!AB19+'78'!AB19+КТЛ!AB19+'83'!AB19+'3'!AB20+'110'!AB19+'116'!AB19+'117'!AB19+'1'!AB20+'2'!AB20</f>
        <v>163506.68</v>
      </c>
      <c r="AC19" s="24">
        <f>'27'!AC19+'37'!AC19+'38'!AC19+'40'!AC19+'42'!AC19+'45'!AC19+'48'!AC19+'50'!AC19+'55'!AC19+'61'!AC19+'76'!AC19+'КЛ 77'!AC19+'78'!AC19+КТЛ!AC19+'83'!AC19+'3'!AC20+'110'!AC19+'116'!AC19+'117'!AC19+'1'!AC20+'2'!AC20</f>
        <v>163506.68</v>
      </c>
      <c r="AD19" s="24">
        <f>'27'!AD19+'37'!AD19+'38'!AD19+'40'!AD19+'42'!AD19+'45'!AD19+'48'!AD19+'50'!AD19+'55'!AD19+'61'!AD19+'76'!AD19+'КЛ 77'!AD19+'78'!AD19+КТЛ!AD19+'83'!AD19+'3'!AD20+'110'!AD19+'116'!AD19+'117'!AD19+'1'!AD20+'2'!AD20</f>
        <v>0</v>
      </c>
      <c r="AE19" s="24">
        <f>'27'!AE19+'37'!AE19+'38'!AE19+'40'!AE19+'42'!AE19+'45'!AE19+'48'!AE19+'50'!AE19+'55'!AE19+'61'!AE19+'76'!AE19+'КЛ 77'!AE19+'78'!AE19+КТЛ!AE19+'83'!AE19+'3'!AE20+'110'!AE19+'116'!AE19+'117'!AE19+'1'!AE20+'2'!AE20</f>
        <v>0</v>
      </c>
      <c r="AF19" s="24">
        <f>'27'!AF19+'37'!AF19+'38'!AF19+'40'!AF19+'42'!AF19+'45'!AF19+'48'!AF19+'50'!AF19+'55'!AF19+'61'!AF19+'76'!AF19+'КЛ 77'!AF19+'78'!AF19+КТЛ!AF19+'83'!AF19+'3'!AF20+'110'!AF19+'116'!AF19+'117'!AF19+'1'!AF20+'2'!AF20</f>
        <v>0</v>
      </c>
      <c r="AG19" s="24">
        <f>'27'!AG19+'37'!AG19+'38'!AG19+'40'!AG19+'42'!AG19+'45'!AG19+'48'!AG19+'50'!AG19+'55'!AG19+'61'!AG19+'76'!AG19+'КЛ 77'!AG19+'78'!AG19+КТЛ!AG19+'83'!AG19+'3'!AG20+'110'!AG19+'116'!AG19+'117'!AG19+'1'!AG20+'2'!AG20</f>
        <v>0</v>
      </c>
      <c r="AH19" s="24">
        <f>'27'!AH19+'37'!AH19+'38'!AH19+'40'!AH19+'42'!AH19+'45'!AH19+'48'!AH19+'50'!AH19+'55'!AH19+'61'!AH19+'76'!AH19+'КЛ 77'!AH19+'78'!AH19+КТЛ!AH19+'83'!AH19+'3'!AH20+'110'!AH19+'116'!AH19+'117'!AH19+'1'!AH20+'2'!AH20</f>
        <v>0</v>
      </c>
      <c r="AI19" s="24">
        <f>'27'!AI19+'37'!AI19+'38'!AI19+'40'!AI19+'42'!AI19+'45'!AI19+'48'!AI19+'50'!AI19+'55'!AI19+'61'!AI19+'76'!AI19+'КЛ 77'!AI19+'78'!AI19+КТЛ!AI19+'83'!AI19+'3'!AI20+'110'!AI19+'116'!AI19+'117'!AI19+'1'!AI20+'2'!AI20</f>
        <v>0</v>
      </c>
      <c r="AJ19" s="24">
        <f>'27'!AJ19+'37'!AJ19+'38'!AJ19+'40'!AJ19+'42'!AJ19+'45'!AJ19+'48'!AJ19+'50'!AJ19+'55'!AJ19+'61'!AJ19+'76'!AJ19+'КЛ 77'!AJ19+'78'!AJ19+КТЛ!AJ19+'83'!AJ19+'3'!AJ20+'110'!AJ19+'116'!AJ19+'117'!AJ19+'1'!AJ20+'2'!AJ20</f>
        <v>0</v>
      </c>
      <c r="AK19" s="24">
        <f>'27'!AK19+'37'!AK19+'38'!AK19+'40'!AK19+'42'!AK19+'45'!AK19+'48'!AK19+'50'!AK19+'55'!AK19+'61'!AK19+'76'!AK19+'КЛ 77'!AK19+'78'!AK19+КТЛ!AK19+'83'!AK19+'3'!AK20+'110'!AK19+'116'!AK19+'117'!AK19+'1'!AK20+'2'!AK20</f>
        <v>0</v>
      </c>
      <c r="AL19" s="24">
        <f>'27'!AL19+'37'!AL19+'38'!AL19+'40'!AL19+'42'!AL19+'45'!AL19+'48'!AL19+'50'!AL19+'55'!AL19+'61'!AL19+'76'!AL19+'КЛ 77'!AL19+'78'!AL19+КТЛ!AL19+'83'!AL19+'3'!AL20+'110'!AL19+'116'!AL19+'117'!AL19+'1'!AL20+'2'!AL20</f>
        <v>0</v>
      </c>
      <c r="AM19" s="26">
        <f>'27'!AM19+'37'!AM19+'38'!AM19+'40'!AM19+'42'!AM19+'45'!AM19+'48'!AM19+'50'!AM19+'55'!AM19+'61'!AM19+'76'!AM19+'КЛ 77'!AM19+'78'!AM19+КТЛ!AM19+'83'!AM19+'3'!AM20+'110'!AM19+'116'!AM19+'117'!AM19+'1'!AM20+'2'!AM20</f>
        <v>0</v>
      </c>
      <c r="AN19" s="26">
        <f>'27'!AN19+'37'!AN19+'38'!AN19+'40'!AN19+'42'!AN19+'45'!AN19+'48'!AN19+'50'!AN19+'55'!AN19+'61'!AN19+'76'!AN19+'КЛ 77'!AN19+'78'!AN19+КТЛ!AN19+'83'!AN19+'3'!AN20+'110'!AN19+'116'!AN19+'117'!AN19+'1'!AN20+'2'!AN20</f>
        <v>4963267.43</v>
      </c>
      <c r="AO19" s="42">
        <f>'27'!AO19+'37'!AO19+'38'!AO19+'40'!AO19+'42'!AO19+'45'!AO19+'48'!AO19+'50'!AO19+'55'!AO19+'61'!AO19+'76'!AO19+'КЛ 77'!AO19+'78'!AO19+КТЛ!AO19+'83'!AO19+'3'!AO20+'110'!AO19+'116'!AO19+'117'!AO19+'1'!AO20+'2'!AO20</f>
        <v>4963267.43</v>
      </c>
      <c r="AP19" s="39"/>
      <c r="AQ19" s="28">
        <v>2273</v>
      </c>
    </row>
    <row r="20" spans="1:44" s="28" customFormat="1" ht="20.100000000000001" customHeight="1">
      <c r="A20" s="23">
        <v>2274</v>
      </c>
      <c r="B20" s="23" t="s">
        <v>11</v>
      </c>
      <c r="C20" s="24">
        <f>'27'!C20+'37'!C20+'38'!C20+'40'!C20+'42'!C20+'45'!C20+'48'!C20+'50'!C20+'55'!C20+'61'!C20+'76'!C20+'КЛ 77'!C20+'78'!C20+КТЛ!C20+'83'!C20+'3'!C21+'110'!C20+'116'!C20+'117'!C20+'1'!C21+'2'!C21</f>
        <v>0</v>
      </c>
      <c r="D20" s="24">
        <f>'27'!D20+'37'!D20+'38'!D20+'40'!D20+'42'!D20+'45'!D20+'48'!D20+'50'!D20+'55'!D20+'61'!D20+'76'!D20+'КЛ 77'!D20+'78'!D20+КТЛ!D20+'83'!D20+'3'!D21+'110'!D20+'116'!D20+'117'!D20+'1'!D21+'2'!D21</f>
        <v>0</v>
      </c>
      <c r="E20" s="24">
        <f t="shared" si="0"/>
        <v>0</v>
      </c>
      <c r="F20" s="24">
        <f>'27'!F20+'37'!F20+'38'!F20+'40'!F20+'42'!F20+'45'!F20+'48'!F20+'50'!F20+'55'!F20+'61'!F20+'76'!F20+'КЛ 77'!F20+'78'!F20+КТЛ!F20+'83'!F20+'3'!F21+'110'!F20+'116'!F20+'117'!F20+'1'!F21+'2'!F21</f>
        <v>0</v>
      </c>
      <c r="G20" s="24">
        <f>'27'!G20+'37'!G20+'38'!G20+'40'!G20+'42'!G20+'45'!G20+'48'!G20+'50'!G20+'55'!G20+'61'!G20+'76'!G20+'КЛ 77'!G20+'78'!G20+КТЛ!G20+'83'!G20+'3'!G21+'110'!G20+'116'!G20+'117'!G20+'1'!G21+'2'!G21</f>
        <v>0</v>
      </c>
      <c r="H20" s="24">
        <f>'27'!H20+'37'!H20+'38'!H20+'40'!H20+'42'!H20+'45'!H20+'48'!H20+'50'!H20+'55'!H20+'61'!H20+'76'!H20+'КЛ 77'!H20+'78'!H20+КТЛ!H20+'83'!H20+'3'!H21+'110'!H20+'116'!H20+'117'!H20+'1'!H21+'2'!H21</f>
        <v>0</v>
      </c>
      <c r="I20" s="24">
        <f>'27'!I20+'37'!I20+'38'!I20+'40'!I20+'42'!I20+'45'!I20+'48'!I20+'50'!I20+'55'!I20+'61'!I20+'76'!I20+'КЛ 77'!I20+'78'!I20+КТЛ!I20+'83'!I20+'3'!I21+'110'!I20+'116'!I20+'117'!I20+'1'!I21+'2'!I21</f>
        <v>0</v>
      </c>
      <c r="J20" s="24">
        <f>'27'!J20+'37'!J20+'38'!J20+'40'!J20+'42'!J20+'45'!J20+'48'!J20+'50'!J20+'55'!J20+'61'!J20+'76'!J20+'КЛ 77'!J20+'78'!J20+КТЛ!J20+'83'!J20+'3'!J21+'110'!J20+'116'!J20+'117'!J20+'1'!J21+'2'!J21</f>
        <v>0</v>
      </c>
      <c r="K20" s="24">
        <f>'27'!K20+'37'!K20+'38'!K20+'40'!K20+'42'!K20+'45'!K20+'48'!K20+'50'!K20+'55'!K20+'61'!K20+'76'!K20+'КЛ 77'!K20+'78'!K20+КТЛ!K20+'83'!K20+'3'!K21+'110'!K20+'116'!K20+'117'!K20+'1'!K21+'2'!K21</f>
        <v>0</v>
      </c>
      <c r="L20" s="24">
        <f>'27'!L20+'37'!L20+'38'!L20+'40'!L20+'42'!L20+'45'!L20+'48'!L20+'50'!L20+'55'!L20+'61'!L20+'76'!L20+'КЛ 77'!L20+'78'!L20+КТЛ!L20+'83'!L20+'3'!L21+'110'!L20+'116'!L20+'117'!L20+'1'!L21+'2'!L21</f>
        <v>0</v>
      </c>
      <c r="M20" s="24">
        <f>'27'!M20+'37'!M20+'38'!M20+'40'!M20+'42'!M20+'45'!M20+'48'!M20+'50'!M20+'55'!M20+'61'!M20+'76'!M20+'КЛ 77'!M20+'78'!M20+КТЛ!M20+'83'!M20+'3'!M21+'110'!M20+'116'!M20+'117'!M20+'1'!M21+'2'!M21</f>
        <v>0</v>
      </c>
      <c r="N20" s="24">
        <f>'27'!N20+'37'!N20+'38'!N20+'40'!N20+'42'!N20+'45'!N20+'48'!N20+'50'!N20+'55'!N20+'61'!N20+'76'!N20+'КЛ 77'!N20+'78'!N20+КТЛ!N20+'83'!N20+'3'!N21+'110'!N20+'116'!N20+'117'!N20+'1'!N21+'2'!N21</f>
        <v>0</v>
      </c>
      <c r="O20" s="24">
        <f>'27'!O20+'37'!O20+'38'!O20+'40'!O20+'42'!O20+'45'!O20+'48'!O20+'50'!O20+'55'!O20+'61'!O20+'76'!O20+'КЛ 77'!O20+'78'!O20+КТЛ!O20+'83'!O20+'3'!O21+'110'!O20+'116'!O20+'117'!O20+'1'!O21+'2'!O21</f>
        <v>0</v>
      </c>
      <c r="P20" s="24">
        <f>'27'!P20+'37'!P20+'38'!P20+'40'!P20+'42'!P20+'45'!P20+'48'!P20+'50'!P20+'55'!P20+'61'!P20+'76'!P20+'КЛ 77'!P20+'78'!P20+КТЛ!P20+'83'!P20+'3'!P21+'110'!P20+'116'!P20+'117'!P20+'1'!P21+'2'!P21</f>
        <v>0</v>
      </c>
      <c r="Q20" s="24">
        <f>'27'!Q20+'37'!Q20+'38'!Q20+'40'!Q20+'42'!Q20+'45'!Q20+'48'!Q20+'50'!Q20+'55'!Q20+'61'!Q20+'76'!Q20+'КЛ 77'!Q20+'78'!Q20+КТЛ!Q20+'83'!Q20+'3'!Q21+'110'!Q20+'116'!Q20+'117'!Q20+'1'!Q21+'2'!Q21</f>
        <v>0</v>
      </c>
      <c r="R20" s="24">
        <f>'27'!R20+'37'!R20+'38'!R20+'40'!R20+'42'!R20+'45'!R20+'48'!R20+'50'!R20+'55'!R20+'61'!R20+'76'!R20+'КЛ 77'!R20+'78'!R20+КТЛ!R20+'83'!R20+'3'!R21+'110'!R20+'116'!R20+'117'!R20+'1'!R21+'2'!R21</f>
        <v>0</v>
      </c>
      <c r="S20" s="24">
        <f>'27'!S20+'37'!S20+'38'!S20+'40'!S20+'42'!S20+'45'!S20+'48'!S20+'50'!S20+'55'!S20+'61'!S20+'76'!S20+'КЛ 77'!S20+'78'!S20+КТЛ!S20+'83'!S20+'3'!S21+'110'!S20+'116'!S20+'117'!S20+'1'!S21+'2'!S21</f>
        <v>0</v>
      </c>
      <c r="T20" s="24">
        <f>'27'!T20+'37'!T20+'38'!T20+'40'!T20+'42'!T20+'45'!T20+'48'!T20+'50'!T20+'55'!T20+'61'!T20+'76'!T20+'КЛ 77'!T20+'78'!T20+КТЛ!T20+'83'!T20+'3'!T21+'110'!T20+'116'!T20+'117'!T20+'1'!T21+'2'!T21</f>
        <v>0</v>
      </c>
      <c r="U20" s="24">
        <f>'27'!U20+'37'!U20+'38'!U20+'40'!U20+'42'!U20+'45'!U20+'48'!U20+'50'!U20+'55'!U20+'61'!U20+'76'!U20+'КЛ 77'!U20+'78'!U20+КТЛ!U20+'83'!U20+'3'!U21+'110'!U20+'116'!U20+'117'!U20+'1'!U21+'2'!U21</f>
        <v>0</v>
      </c>
      <c r="V20" s="24">
        <f>'27'!V20+'37'!V20+'38'!V20+'40'!V20+'42'!V20+'45'!V20+'48'!V20+'50'!V20+'55'!V20+'61'!V20+'76'!V20+'КЛ 77'!V20+'78'!V20+КТЛ!V20+'83'!V20+'3'!V21+'110'!V20+'116'!V20+'117'!V20+'1'!V21+'2'!V21</f>
        <v>0</v>
      </c>
      <c r="W20" s="24">
        <f>'27'!W20+'37'!W20+'38'!W20+'40'!W20+'42'!W20+'45'!W20+'48'!W20+'50'!W20+'55'!W20+'61'!W20+'76'!W20+'КЛ 77'!W20+'78'!W20+КТЛ!W20+'83'!W20+'3'!W21+'110'!W20+'116'!W20+'117'!W20+'1'!W21+'2'!W21</f>
        <v>0</v>
      </c>
      <c r="X20" s="24">
        <f>'27'!X20+'37'!X20+'38'!X20+'40'!X20+'42'!X20+'45'!X20+'48'!X20+'50'!X20+'55'!X20+'61'!X20+'76'!X20+'КЛ 77'!X20+'78'!X20+КТЛ!X20+'83'!X20+'3'!X21+'110'!X20+'116'!X20+'117'!X20+'1'!X21+'2'!X21</f>
        <v>0</v>
      </c>
      <c r="Y20" s="24">
        <f>'27'!Y20+'37'!Y20+'38'!Y20+'40'!Y20+'42'!Y20+'45'!Y20+'48'!Y20+'50'!Y20+'55'!Y20+'61'!Y20+'76'!Y20+'КЛ 77'!Y20+'78'!Y20+КТЛ!Y20+'83'!Y20+'3'!Y21+'110'!Y20+'116'!Y20+'117'!Y20+'1'!Y21+'2'!Y21</f>
        <v>0</v>
      </c>
      <c r="Z20" s="25">
        <f>'27'!Z20+'37'!Z20+'38'!Z20+'40'!Z20+'42'!Z20+'45'!Z20+'48'!Z20+'50'!Z20+'55'!Z20+'61'!Z20+'76'!Z20+'КЛ 77'!Z20+'78'!Z20+КТЛ!Z20+'83'!Z20+'3'!Z21+'110'!Z20+'116'!Z20+'117'!Z20+'1'!Z21+'2'!Z21</f>
        <v>0</v>
      </c>
      <c r="AA20" s="24">
        <f>'27'!AA20+'37'!AA20+'38'!AA20+'40'!AA20+'42'!AA20+'45'!AA20+'48'!AA20+'50'!AA20+'55'!AA20+'61'!AA20+'76'!AA20+'КЛ 77'!AA20+'78'!AA20+КТЛ!AA20+'83'!AA20+'3'!AA21+'110'!AA20+'116'!AA20+'117'!AA20+'1'!AA21+'2'!AA21</f>
        <v>0</v>
      </c>
      <c r="AB20" s="24">
        <f>'27'!AB20+'37'!AB20+'38'!AB20+'40'!AB20+'42'!AB20+'45'!AB20+'48'!AB20+'50'!AB20+'55'!AB20+'61'!AB20+'76'!AB20+'КЛ 77'!AB20+'78'!AB20+КТЛ!AB20+'83'!AB20+'3'!AB21+'110'!AB20+'116'!AB20+'117'!AB20+'1'!AB21+'2'!AB21</f>
        <v>0</v>
      </c>
      <c r="AC20" s="24">
        <f>'27'!AC20+'37'!AC20+'38'!AC20+'40'!AC20+'42'!AC20+'45'!AC20+'48'!AC20+'50'!AC20+'55'!AC20+'61'!AC20+'76'!AC20+'КЛ 77'!AC20+'78'!AC20+КТЛ!AC20+'83'!AC20+'3'!AC21+'110'!AC20+'116'!AC20+'117'!AC20+'1'!AC21+'2'!AC21</f>
        <v>0</v>
      </c>
      <c r="AD20" s="24">
        <f>'27'!AD20+'37'!AD20+'38'!AD20+'40'!AD20+'42'!AD20+'45'!AD20+'48'!AD20+'50'!AD20+'55'!AD20+'61'!AD20+'76'!AD20+'КЛ 77'!AD20+'78'!AD20+КТЛ!AD20+'83'!AD20+'3'!AD21+'110'!AD20+'116'!AD20+'117'!AD20+'1'!AD21+'2'!AD21</f>
        <v>0</v>
      </c>
      <c r="AE20" s="24">
        <f>'27'!AE20+'37'!AE20+'38'!AE20+'40'!AE20+'42'!AE20+'45'!AE20+'48'!AE20+'50'!AE20+'55'!AE20+'61'!AE20+'76'!AE20+'КЛ 77'!AE20+'78'!AE20+КТЛ!AE20+'83'!AE20+'3'!AE21+'110'!AE20+'116'!AE20+'117'!AE20+'1'!AE21+'2'!AE21</f>
        <v>0</v>
      </c>
      <c r="AF20" s="24">
        <f>'27'!AF20+'37'!AF20+'38'!AF20+'40'!AF20+'42'!AF20+'45'!AF20+'48'!AF20+'50'!AF20+'55'!AF20+'61'!AF20+'76'!AF20+'КЛ 77'!AF20+'78'!AF20+КТЛ!AF20+'83'!AF20+'3'!AF21+'110'!AF20+'116'!AF20+'117'!AF20+'1'!AF21+'2'!AF21</f>
        <v>0</v>
      </c>
      <c r="AG20" s="24">
        <f>'27'!AG20+'37'!AG20+'38'!AG20+'40'!AG20+'42'!AG20+'45'!AG20+'48'!AG20+'50'!AG20+'55'!AG20+'61'!AG20+'76'!AG20+'КЛ 77'!AG20+'78'!AG20+КТЛ!AG20+'83'!AG20+'3'!AG21+'110'!AG20+'116'!AG20+'117'!AG20+'1'!AG21+'2'!AG21</f>
        <v>0</v>
      </c>
      <c r="AH20" s="24">
        <f>'27'!AH20+'37'!AH20+'38'!AH20+'40'!AH20+'42'!AH20+'45'!AH20+'48'!AH20+'50'!AH20+'55'!AH20+'61'!AH20+'76'!AH20+'КЛ 77'!AH20+'78'!AH20+КТЛ!AH20+'83'!AH20+'3'!AH21+'110'!AH20+'116'!AH20+'117'!AH20+'1'!AH21+'2'!AH21</f>
        <v>0</v>
      </c>
      <c r="AI20" s="24">
        <f>'27'!AI20+'37'!AI20+'38'!AI20+'40'!AI20+'42'!AI20+'45'!AI20+'48'!AI20+'50'!AI20+'55'!AI20+'61'!AI20+'76'!AI20+'КЛ 77'!AI20+'78'!AI20+КТЛ!AI20+'83'!AI20+'3'!AI21+'110'!AI20+'116'!AI20+'117'!AI20+'1'!AI21+'2'!AI21</f>
        <v>0</v>
      </c>
      <c r="AJ20" s="24">
        <f>'27'!AJ20+'37'!AJ20+'38'!AJ20+'40'!AJ20+'42'!AJ20+'45'!AJ20+'48'!AJ20+'50'!AJ20+'55'!AJ20+'61'!AJ20+'76'!AJ20+'КЛ 77'!AJ20+'78'!AJ20+КТЛ!AJ20+'83'!AJ20+'3'!AJ21+'110'!AJ20+'116'!AJ20+'117'!AJ20+'1'!AJ21+'2'!AJ21</f>
        <v>0</v>
      </c>
      <c r="AK20" s="24">
        <f>'27'!AK20+'37'!AK20+'38'!AK20+'40'!AK20+'42'!AK20+'45'!AK20+'48'!AK20+'50'!AK20+'55'!AK20+'61'!AK20+'76'!AK20+'КЛ 77'!AK20+'78'!AK20+КТЛ!AK20+'83'!AK20+'3'!AK21+'110'!AK20+'116'!AK20+'117'!AK20+'1'!AK21+'2'!AK21</f>
        <v>0</v>
      </c>
      <c r="AL20" s="24">
        <f>'27'!AL20+'37'!AL20+'38'!AL20+'40'!AL20+'42'!AL20+'45'!AL20+'48'!AL20+'50'!AL20+'55'!AL20+'61'!AL20+'76'!AL20+'КЛ 77'!AL20+'78'!AL20+КТЛ!AL20+'83'!AL20+'3'!AL21+'110'!AL20+'116'!AL20+'117'!AL20+'1'!AL21+'2'!AL21</f>
        <v>0</v>
      </c>
      <c r="AM20" s="26">
        <f>'27'!AM20+'37'!AM20+'38'!AM20+'40'!AM20+'42'!AM20+'45'!AM20+'48'!AM20+'50'!AM20+'55'!AM20+'61'!AM20+'76'!AM20+'КЛ 77'!AM20+'78'!AM20+КТЛ!AM20+'83'!AM20+'3'!AM21+'110'!AM20+'116'!AM20+'117'!AM20+'1'!AM21+'2'!AM21</f>
        <v>0</v>
      </c>
      <c r="AN20" s="26">
        <f>'27'!AN20+'37'!AN20+'38'!AN20+'40'!AN20+'42'!AN20+'45'!AN20+'48'!AN20+'50'!AN20+'55'!AN20+'61'!AN20+'76'!AN20+'КЛ 77'!AN20+'78'!AN20+КТЛ!AN20+'83'!AN20+'3'!AN21+'110'!AN20+'116'!AN20+'117'!AN20+'1'!AN21+'2'!AN21</f>
        <v>0</v>
      </c>
      <c r="AO20" s="42">
        <f>'27'!AO20+'37'!AO20+'38'!AO20+'40'!AO20+'42'!AO20+'45'!AO20+'48'!AO20+'50'!AO20+'55'!AO20+'61'!AO20+'76'!AO20+'КЛ 77'!AO20+'78'!AO20+КТЛ!AO20+'83'!AO20+'3'!AO21+'110'!AO20+'116'!AO20+'117'!AO20+'1'!AO21+'2'!AO21</f>
        <v>0</v>
      </c>
      <c r="AP20" s="39" t="s">
        <v>66</v>
      </c>
      <c r="AQ20" s="28">
        <v>2274</v>
      </c>
    </row>
    <row r="21" spans="1:44" s="28" customFormat="1" ht="20.100000000000001" customHeight="1">
      <c r="A21" s="23">
        <v>2275</v>
      </c>
      <c r="B21" s="23" t="s">
        <v>12</v>
      </c>
      <c r="C21" s="24">
        <f>'27'!C21+'37'!C21+'38'!C21+'40'!C21+'42'!C21+'45'!C21+'48'!C21+'50'!C21+'55'!C21+'61'!C21+'76'!C21+'КЛ 77'!C21+'78'!C21+КТЛ!C21+'83'!C21+'3'!C22+'110'!C21+'116'!C21+'117'!C21+'1'!C22+'2'!C22</f>
        <v>0</v>
      </c>
      <c r="D21" s="24">
        <f>'27'!D21+'37'!D21+'38'!D21+'40'!D21+'42'!D21+'45'!D21+'48'!D21+'50'!D21+'55'!D21+'61'!D21+'76'!D21+'КЛ 77'!D21+'78'!D21+КТЛ!D21+'83'!D21+'3'!D22+'110'!D21+'116'!D21+'117'!D21+'1'!D22+'2'!D22</f>
        <v>342961.22000000003</v>
      </c>
      <c r="E21" s="24">
        <f t="shared" si="0"/>
        <v>342961.22000000003</v>
      </c>
      <c r="F21" s="24">
        <f>'27'!F21+'37'!F21+'38'!F21+'40'!F21+'42'!F21+'45'!F21+'48'!F21+'50'!F21+'55'!F21+'61'!F21+'76'!F21+'КЛ 77'!F21+'78'!F21+КТЛ!F21+'83'!F21+'3'!F22+'110'!F21+'116'!F21+'117'!F21+'1'!F22+'2'!F22</f>
        <v>0</v>
      </c>
      <c r="G21" s="24">
        <f>'27'!G21+'37'!G21+'38'!G21+'40'!G21+'42'!G21+'45'!G21+'48'!G21+'50'!G21+'55'!G21+'61'!G21+'76'!G21+'КЛ 77'!G21+'78'!G21+КТЛ!G21+'83'!G21+'3'!G22+'110'!G21+'116'!G21+'117'!G21+'1'!G22+'2'!G22</f>
        <v>272270.68000000005</v>
      </c>
      <c r="H21" s="24">
        <f>'27'!H21+'37'!H21+'38'!H21+'40'!H21+'42'!H21+'45'!H21+'48'!H21+'50'!H21+'55'!H21+'61'!H21+'76'!H21+'КЛ 77'!H21+'78'!H21+КТЛ!H21+'83'!H21+'3'!H22+'110'!H21+'116'!H21+'117'!H21+'1'!H22+'2'!H22</f>
        <v>272270.68000000005</v>
      </c>
      <c r="I21" s="24">
        <f>'27'!I21+'37'!I21+'38'!I21+'40'!I21+'42'!I21+'45'!I21+'48'!I21+'50'!I21+'55'!I21+'61'!I21+'76'!I21+'КЛ 77'!I21+'78'!I21+КТЛ!I21+'83'!I21+'3'!I22+'110'!I21+'116'!I21+'117'!I21+'1'!I22+'2'!I22</f>
        <v>0</v>
      </c>
      <c r="J21" s="24">
        <f>'27'!J21+'37'!J21+'38'!J21+'40'!J21+'42'!J21+'45'!J21+'48'!J21+'50'!J21+'55'!J21+'61'!J21+'76'!J21+'КЛ 77'!J21+'78'!J21+КТЛ!J21+'83'!J21+'3'!J22+'110'!J21+'116'!J21+'117'!J21+'1'!J22+'2'!J22</f>
        <v>92947.75</v>
      </c>
      <c r="K21" s="24">
        <f>'27'!K21+'37'!K21+'38'!K21+'40'!K21+'42'!K21+'45'!K21+'48'!K21+'50'!K21+'55'!K21+'61'!K21+'76'!K21+'КЛ 77'!K21+'78'!K21+КТЛ!K21+'83'!K21+'3'!K22+'110'!K21+'116'!K21+'117'!K21+'1'!K22+'2'!K22</f>
        <v>92947.75</v>
      </c>
      <c r="L21" s="24">
        <f>'27'!L21+'37'!L21+'38'!L21+'40'!L21+'42'!L21+'45'!L21+'48'!L21+'50'!L21+'55'!L21+'61'!L21+'76'!L21+'КЛ 77'!L21+'78'!L21+КТЛ!L21+'83'!L21+'3'!L22+'110'!L21+'116'!L21+'117'!L21+'1'!L22+'2'!L22</f>
        <v>0</v>
      </c>
      <c r="M21" s="24">
        <f>'27'!M21+'37'!M21+'38'!M21+'40'!M21+'42'!M21+'45'!M21+'48'!M21+'50'!M21+'55'!M21+'61'!M21+'76'!M21+'КЛ 77'!M21+'78'!M21+КТЛ!M21+'83'!M21+'3'!M22+'110'!M21+'116'!M21+'117'!M21+'1'!M22+'2'!M22</f>
        <v>25983.14</v>
      </c>
      <c r="N21" s="24">
        <f>'27'!N21+'37'!N21+'38'!N21+'40'!N21+'42'!N21+'45'!N21+'48'!N21+'50'!N21+'55'!N21+'61'!N21+'76'!N21+'КЛ 77'!N21+'78'!N21+КТЛ!N21+'83'!N21+'3'!N22+'110'!N21+'116'!N21+'117'!N21+'1'!N22+'2'!N22</f>
        <v>25983.14</v>
      </c>
      <c r="O21" s="24">
        <f>'27'!O21+'37'!O21+'38'!O21+'40'!O21+'42'!O21+'45'!O21+'48'!O21+'50'!O21+'55'!O21+'61'!O21+'76'!O21+'КЛ 77'!O21+'78'!O21+КТЛ!O21+'83'!O21+'3'!O22+'110'!O21+'116'!O21+'117'!O21+'1'!O22+'2'!O22</f>
        <v>0</v>
      </c>
      <c r="P21" s="24">
        <f>'27'!P21+'37'!P21+'38'!P21+'40'!P21+'42'!P21+'45'!P21+'48'!P21+'50'!P21+'55'!P21+'61'!P21+'76'!P21+'КЛ 77'!P21+'78'!P21+КТЛ!P21+'83'!P21+'3'!P22+'110'!P21+'116'!P21+'117'!P21+'1'!P22+'2'!P22</f>
        <v>121879.51000000001</v>
      </c>
      <c r="Q21" s="24">
        <f>'27'!Q21+'37'!Q21+'38'!Q21+'40'!Q21+'42'!Q21+'45'!Q21+'48'!Q21+'50'!Q21+'55'!Q21+'61'!Q21+'76'!Q21+'КЛ 77'!Q21+'78'!Q21+КТЛ!Q21+'83'!Q21+'3'!Q22+'110'!Q21+'116'!Q21+'117'!Q21+'1'!Q22+'2'!Q22</f>
        <v>121879.51000000001</v>
      </c>
      <c r="R21" s="24">
        <f>'27'!R21+'37'!R21+'38'!R21+'40'!R21+'42'!R21+'45'!R21+'48'!R21+'50'!R21+'55'!R21+'61'!R21+'76'!R21+'КЛ 77'!R21+'78'!R21+КТЛ!R21+'83'!R21+'3'!R22+'110'!R21+'116'!R21+'117'!R21+'1'!R22+'2'!R22</f>
        <v>0</v>
      </c>
      <c r="S21" s="24">
        <f>'27'!S21+'37'!S21+'38'!S21+'40'!S21+'42'!S21+'45'!S21+'48'!S21+'50'!S21+'55'!S21+'61'!S21+'76'!S21+'КЛ 77'!S21+'78'!S21+КТЛ!S21+'83'!S21+'3'!S22+'110'!S21+'116'!S21+'117'!S21+'1'!S22+'2'!S22</f>
        <v>26359.239999999998</v>
      </c>
      <c r="T21" s="24">
        <f>'27'!T21+'37'!T21+'38'!T21+'40'!T21+'42'!T21+'45'!T21+'48'!T21+'50'!T21+'55'!T21+'61'!T21+'76'!T21+'КЛ 77'!T21+'78'!T21+КТЛ!T21+'83'!T21+'3'!T22+'110'!T21+'116'!T21+'117'!T21+'1'!T22+'2'!T22</f>
        <v>26359.239999999998</v>
      </c>
      <c r="U21" s="24">
        <f>'27'!U21+'37'!U21+'38'!U21+'40'!U21+'42'!U21+'45'!U21+'48'!U21+'50'!U21+'55'!U21+'61'!U21+'76'!U21+'КЛ 77'!U21+'78'!U21+КТЛ!U21+'83'!U21+'3'!U22+'110'!U21+'116'!U21+'117'!U21+'1'!U22+'2'!U22</f>
        <v>0</v>
      </c>
      <c r="V21" s="24">
        <f>'27'!V21+'37'!V21+'38'!V21+'40'!V21+'42'!V21+'45'!V21+'48'!V21+'50'!V21+'55'!V21+'61'!V21+'76'!V21+'КЛ 77'!V21+'78'!V21+КТЛ!V21+'83'!V21+'3'!V22+'110'!V21+'116'!V21+'117'!V21+'1'!V22+'2'!V22</f>
        <v>77475.530000000013</v>
      </c>
      <c r="W21" s="24">
        <f>'27'!W21+'37'!W21+'38'!W21+'40'!W21+'42'!W21+'45'!W21+'48'!W21+'50'!W21+'55'!W21+'61'!W21+'76'!W21+'КЛ 77'!W21+'78'!W21+КТЛ!W21+'83'!W21+'3'!W22+'110'!W21+'116'!W21+'117'!W21+'1'!W22+'2'!W22</f>
        <v>77475.530000000013</v>
      </c>
      <c r="X21" s="24">
        <f>'27'!X21+'37'!X21+'38'!X21+'40'!X21+'42'!X21+'45'!X21+'48'!X21+'50'!X21+'55'!X21+'61'!X21+'76'!X21+'КЛ 77'!X21+'78'!X21+КТЛ!X21+'83'!X21+'3'!X22+'110'!X21+'116'!X21+'117'!X21+'1'!X22+'2'!X22</f>
        <v>0</v>
      </c>
      <c r="Y21" s="24">
        <f>'27'!Y21+'37'!Y21+'38'!Y21+'40'!Y21+'42'!Y21+'45'!Y21+'48'!Y21+'50'!Y21+'55'!Y21+'61'!Y21+'76'!Y21+'КЛ 77'!Y21+'78'!Y21+КТЛ!Y21+'83'!Y21+'3'!Y22+'110'!Y21+'116'!Y21+'117'!Y21+'1'!Y22+'2'!Y22</f>
        <v>81644.790000000023</v>
      </c>
      <c r="Z21" s="25">
        <f>'27'!Z21+'37'!Z21+'38'!Z21+'40'!Z21+'42'!Z21+'45'!Z21+'48'!Z21+'50'!Z21+'55'!Z21+'61'!Z21+'76'!Z21+'КЛ 77'!Z21+'78'!Z21+КТЛ!Z21+'83'!Z21+'3'!Z22+'110'!Z21+'116'!Z21+'117'!Z21+'1'!Z22+'2'!Z22</f>
        <v>81644.790000000023</v>
      </c>
      <c r="AA21" s="24">
        <f>'27'!AA21+'37'!AA21+'38'!AA21+'40'!AA21+'42'!AA21+'45'!AA21+'48'!AA21+'50'!AA21+'55'!AA21+'61'!AA21+'76'!AA21+'КЛ 77'!AA21+'78'!AA21+КТЛ!AA21+'83'!AA21+'3'!AA22+'110'!AA21+'116'!AA21+'117'!AA21+'1'!AA22+'2'!AA22</f>
        <v>0</v>
      </c>
      <c r="AB21" s="24">
        <f>'27'!AB21+'37'!AB21+'38'!AB21+'40'!AB21+'42'!AB21+'45'!AB21+'48'!AB21+'50'!AB21+'55'!AB21+'61'!AB21+'76'!AB21+'КЛ 77'!AB21+'78'!AB21+КТЛ!AB21+'83'!AB21+'3'!AB22+'110'!AB21+'116'!AB21+'117'!AB21+'1'!AB22+'2'!AB22</f>
        <v>55623.040000000008</v>
      </c>
      <c r="AC21" s="24">
        <f>'27'!AC21+'37'!AC21+'38'!AC21+'40'!AC21+'42'!AC21+'45'!AC21+'48'!AC21+'50'!AC21+'55'!AC21+'61'!AC21+'76'!AC21+'КЛ 77'!AC21+'78'!AC21+КТЛ!AC21+'83'!AC21+'3'!AC22+'110'!AC21+'116'!AC21+'117'!AC21+'1'!AC22+'2'!AC22</f>
        <v>55623.040000000008</v>
      </c>
      <c r="AD21" s="24">
        <f>'27'!AD21+'37'!AD21+'38'!AD21+'40'!AD21+'42'!AD21+'45'!AD21+'48'!AD21+'50'!AD21+'55'!AD21+'61'!AD21+'76'!AD21+'КЛ 77'!AD21+'78'!AD21+КТЛ!AD21+'83'!AD21+'3'!AD22+'110'!AD21+'116'!AD21+'117'!AD21+'1'!AD22+'2'!AD22</f>
        <v>0</v>
      </c>
      <c r="AE21" s="24">
        <f>'27'!AE21+'37'!AE21+'38'!AE21+'40'!AE21+'42'!AE21+'45'!AE21+'48'!AE21+'50'!AE21+'55'!AE21+'61'!AE21+'76'!AE21+'КЛ 77'!AE21+'78'!AE21+КТЛ!AE21+'83'!AE21+'3'!AE22+'110'!AE21+'116'!AE21+'117'!AE21+'1'!AE22+'2'!AE22</f>
        <v>0</v>
      </c>
      <c r="AF21" s="24">
        <f>'27'!AF21+'37'!AF21+'38'!AF21+'40'!AF21+'42'!AF21+'45'!AF21+'48'!AF21+'50'!AF21+'55'!AF21+'61'!AF21+'76'!AF21+'КЛ 77'!AF21+'78'!AF21+КТЛ!AF21+'83'!AF21+'3'!AF22+'110'!AF21+'116'!AF21+'117'!AF21+'1'!AF22+'2'!AF22</f>
        <v>0</v>
      </c>
      <c r="AG21" s="24">
        <f>'27'!AG21+'37'!AG21+'38'!AG21+'40'!AG21+'42'!AG21+'45'!AG21+'48'!AG21+'50'!AG21+'55'!AG21+'61'!AG21+'76'!AG21+'КЛ 77'!AG21+'78'!AG21+КТЛ!AG21+'83'!AG21+'3'!AG22+'110'!AG21+'116'!AG21+'117'!AG21+'1'!AG22+'2'!AG22</f>
        <v>0</v>
      </c>
      <c r="AH21" s="24">
        <f>'27'!AH21+'37'!AH21+'38'!AH21+'40'!AH21+'42'!AH21+'45'!AH21+'48'!AH21+'50'!AH21+'55'!AH21+'61'!AH21+'76'!AH21+'КЛ 77'!AH21+'78'!AH21+КТЛ!AH21+'83'!AH21+'3'!AH22+'110'!AH21+'116'!AH21+'117'!AH21+'1'!AH22+'2'!AH22</f>
        <v>0</v>
      </c>
      <c r="AI21" s="24">
        <f>'27'!AI21+'37'!AI21+'38'!AI21+'40'!AI21+'42'!AI21+'45'!AI21+'48'!AI21+'50'!AI21+'55'!AI21+'61'!AI21+'76'!AI21+'КЛ 77'!AI21+'78'!AI21+КТЛ!AI21+'83'!AI21+'3'!AI22+'110'!AI21+'116'!AI21+'117'!AI21+'1'!AI22+'2'!AI22</f>
        <v>0</v>
      </c>
      <c r="AJ21" s="24">
        <f>'27'!AJ21+'37'!AJ21+'38'!AJ21+'40'!AJ21+'42'!AJ21+'45'!AJ21+'48'!AJ21+'50'!AJ21+'55'!AJ21+'61'!AJ21+'76'!AJ21+'КЛ 77'!AJ21+'78'!AJ21+КТЛ!AJ21+'83'!AJ21+'3'!AJ22+'110'!AJ21+'116'!AJ21+'117'!AJ21+'1'!AJ22+'2'!AJ22</f>
        <v>0</v>
      </c>
      <c r="AK21" s="24">
        <f>'27'!AK21+'37'!AK21+'38'!AK21+'40'!AK21+'42'!AK21+'45'!AK21+'48'!AK21+'50'!AK21+'55'!AK21+'61'!AK21+'76'!AK21+'КЛ 77'!AK21+'78'!AK21+КТЛ!AK21+'83'!AK21+'3'!AK22+'110'!AK21+'116'!AK21+'117'!AK21+'1'!AK22+'2'!AK22</f>
        <v>0</v>
      </c>
      <c r="AL21" s="24">
        <f>'27'!AL21+'37'!AL21+'38'!AL21+'40'!AL21+'42'!AL21+'45'!AL21+'48'!AL21+'50'!AL21+'55'!AL21+'61'!AL21+'76'!AL21+'КЛ 77'!AL21+'78'!AL21+КТЛ!AL21+'83'!AL21+'3'!AL22+'110'!AL21+'116'!AL21+'117'!AL21+'1'!AL22+'2'!AL22</f>
        <v>0</v>
      </c>
      <c r="AM21" s="26">
        <f>'27'!AM21+'37'!AM21+'38'!AM21+'40'!AM21+'42'!AM21+'45'!AM21+'48'!AM21+'50'!AM21+'55'!AM21+'61'!AM21+'76'!AM21+'КЛ 77'!AM21+'78'!AM21+КТЛ!AM21+'83'!AM21+'3'!AM22+'110'!AM21+'116'!AM21+'117'!AM21+'1'!AM22+'2'!AM22</f>
        <v>0</v>
      </c>
      <c r="AN21" s="26">
        <f>'27'!AN21+'37'!AN21+'38'!AN21+'40'!AN21+'42'!AN21+'45'!AN21+'48'!AN21+'50'!AN21+'55'!AN21+'61'!AN21+'76'!AN21+'КЛ 77'!AN21+'78'!AN21+КТЛ!AN21+'83'!AN21+'3'!AN22+'110'!AN21+'116'!AN21+'117'!AN21+'1'!AN22+'2'!AN22</f>
        <v>1097144.8999999999</v>
      </c>
      <c r="AO21" s="42">
        <f>'27'!AO21+'37'!AO21+'38'!AO21+'40'!AO21+'42'!AO21+'45'!AO21+'48'!AO21+'50'!AO21+'55'!AO21+'61'!AO21+'76'!AO21+'КЛ 77'!AO21+'78'!AO21+КТЛ!AO21+'83'!AO21+'3'!AO22+'110'!AO21+'116'!AO21+'117'!AO21+'1'!AO22+'2'!AO22</f>
        <v>1097144.8999999999</v>
      </c>
      <c r="AP21" s="40"/>
      <c r="AQ21" s="28">
        <v>2275</v>
      </c>
      <c r="AR21" s="29"/>
    </row>
    <row r="22" spans="1:44" s="28" customFormat="1" ht="44.25" customHeight="1">
      <c r="A22" s="31">
        <v>2282</v>
      </c>
      <c r="B22" s="32" t="s">
        <v>13</v>
      </c>
      <c r="C22" s="24">
        <f>'27'!C22+'37'!C22+'38'!C22+'40'!C22+'42'!C22+'45'!C22+'48'!C22+'50'!C22+'55'!C22+'61'!C22+'76'!C22+'КЛ 77'!C22+'78'!C22+КТЛ!C22+'83'!C22+'3'!C23+'110'!C22+'116'!C22+'117'!C22+'1'!C23+'2'!C23</f>
        <v>0</v>
      </c>
      <c r="D22" s="24">
        <f>'27'!D22+'37'!D22+'38'!D22+'40'!D22+'42'!D22+'45'!D22+'48'!D22+'50'!D22+'55'!D22+'61'!D22+'76'!D22+'КЛ 77'!D22+'78'!D22+КТЛ!D22+'83'!D22+'3'!D23+'110'!D22+'116'!D22+'117'!D22+'1'!D23+'2'!D23</f>
        <v>0</v>
      </c>
      <c r="E22" s="24">
        <f t="shared" si="0"/>
        <v>0</v>
      </c>
      <c r="F22" s="24">
        <f>'27'!F22+'37'!F22+'38'!F22+'40'!F22+'42'!F22+'45'!F22+'48'!F22+'50'!F22+'55'!F22+'61'!F22+'76'!F22+'КЛ 77'!F22+'78'!F22+КТЛ!F22+'83'!F22+'3'!F23+'110'!F22+'116'!F22+'117'!F22+'1'!F23+'2'!F23</f>
        <v>0</v>
      </c>
      <c r="G22" s="24">
        <f>'27'!G22+'37'!G22+'38'!G22+'40'!G22+'42'!G22+'45'!G22+'48'!G22+'50'!G22+'55'!G22+'61'!G22+'76'!G22+'КЛ 77'!G22+'78'!G22+КТЛ!G22+'83'!G22+'3'!G23+'110'!G22+'116'!G22+'117'!G22+'1'!G23+'2'!G23</f>
        <v>0</v>
      </c>
      <c r="H22" s="24">
        <f>'27'!H22+'37'!H22+'38'!H22+'40'!H22+'42'!H22+'45'!H22+'48'!H22+'50'!H22+'55'!H22+'61'!H22+'76'!H22+'КЛ 77'!H22+'78'!H22+КТЛ!H22+'83'!H22+'3'!H23+'110'!H22+'116'!H22+'117'!H22+'1'!H23+'2'!H23</f>
        <v>0</v>
      </c>
      <c r="I22" s="24">
        <f>'27'!I22+'37'!I22+'38'!I22+'40'!I22+'42'!I22+'45'!I22+'48'!I22+'50'!I22+'55'!I22+'61'!I22+'76'!I22+'КЛ 77'!I22+'78'!I22+КТЛ!I22+'83'!I22+'3'!I23+'110'!I22+'116'!I22+'117'!I22+'1'!I23+'2'!I23</f>
        <v>0</v>
      </c>
      <c r="J22" s="24">
        <f>'27'!J22+'37'!J22+'38'!J22+'40'!J22+'42'!J22+'45'!J22+'48'!J22+'50'!J22+'55'!J22+'61'!J22+'76'!J22+'КЛ 77'!J22+'78'!J22+КТЛ!J22+'83'!J22+'3'!J23+'110'!J22+'116'!J22+'117'!J22+'1'!J23+'2'!J23</f>
        <v>0</v>
      </c>
      <c r="K22" s="24">
        <f>'27'!K22+'37'!K22+'38'!K22+'40'!K22+'42'!K22+'45'!K22+'48'!K22+'50'!K22+'55'!K22+'61'!K22+'76'!K22+'КЛ 77'!K22+'78'!K22+КТЛ!K22+'83'!K22+'3'!K23+'110'!K22+'116'!K22+'117'!K22+'1'!K23+'2'!K23</f>
        <v>0</v>
      </c>
      <c r="L22" s="24">
        <f>'27'!L22+'37'!L22+'38'!L22+'40'!L22+'42'!L22+'45'!L22+'48'!L22+'50'!L22+'55'!L22+'61'!L22+'76'!L22+'КЛ 77'!L22+'78'!L22+КТЛ!L22+'83'!L22+'3'!L23+'110'!L22+'116'!L22+'117'!L22+'1'!L23+'2'!L23</f>
        <v>0</v>
      </c>
      <c r="M22" s="24">
        <f>'27'!M22+'37'!M22+'38'!M22+'40'!M22+'42'!M22+'45'!M22+'48'!M22+'50'!M22+'55'!M22+'61'!M22+'76'!M22+'КЛ 77'!M22+'78'!M22+КТЛ!M22+'83'!M22+'3'!M23+'110'!M22+'116'!M22+'117'!M22+'1'!M23+'2'!M23</f>
        <v>0</v>
      </c>
      <c r="N22" s="24">
        <f>'27'!N22+'37'!N22+'38'!N22+'40'!N22+'42'!N22+'45'!N22+'48'!N22+'50'!N22+'55'!N22+'61'!N22+'76'!N22+'КЛ 77'!N22+'78'!N22+КТЛ!N22+'83'!N22+'3'!N23+'110'!N22+'116'!N22+'117'!N22+'1'!N23+'2'!N23</f>
        <v>0</v>
      </c>
      <c r="O22" s="24">
        <f>'27'!O22+'37'!O22+'38'!O22+'40'!O22+'42'!O22+'45'!O22+'48'!O22+'50'!O22+'55'!O22+'61'!O22+'76'!O22+'КЛ 77'!O22+'78'!O22+КТЛ!O22+'83'!O22+'3'!O23+'110'!O22+'116'!O22+'117'!O22+'1'!O23+'2'!O23</f>
        <v>0</v>
      </c>
      <c r="P22" s="24">
        <f>'27'!P22+'37'!P22+'38'!P22+'40'!P22+'42'!P22+'45'!P22+'48'!P22+'50'!P22+'55'!P22+'61'!P22+'76'!P22+'КЛ 77'!P22+'78'!P22+КТЛ!P22+'83'!P22+'3'!P23+'110'!P22+'116'!P22+'117'!P22+'1'!P23+'2'!P23</f>
        <v>5760</v>
      </c>
      <c r="Q22" s="24">
        <f>'27'!Q22+'37'!Q22+'38'!Q22+'40'!Q22+'42'!Q22+'45'!Q22+'48'!Q22+'50'!Q22+'55'!Q22+'61'!Q22+'76'!Q22+'КЛ 77'!Q22+'78'!Q22+КТЛ!Q22+'83'!Q22+'3'!Q23+'110'!Q22+'116'!Q22+'117'!Q22+'1'!Q23+'2'!Q23</f>
        <v>5760</v>
      </c>
      <c r="R22" s="24">
        <f>'27'!R22+'37'!R22+'38'!R22+'40'!R22+'42'!R22+'45'!R22+'48'!R22+'50'!R22+'55'!R22+'61'!R22+'76'!R22+'КЛ 77'!R22+'78'!R22+КТЛ!R22+'83'!R22+'3'!R23+'110'!R22+'116'!R22+'117'!R22+'1'!R23+'2'!R23</f>
        <v>0</v>
      </c>
      <c r="S22" s="24">
        <f>'27'!S22+'37'!S22+'38'!S22+'40'!S22+'42'!S22+'45'!S22+'48'!S22+'50'!S22+'55'!S22+'61'!S22+'76'!S22+'КЛ 77'!S22+'78'!S22+КТЛ!S22+'83'!S22+'3'!S23+'110'!S22+'116'!S22+'117'!S22+'1'!S23+'2'!S23</f>
        <v>10200</v>
      </c>
      <c r="T22" s="24">
        <f>'27'!T22+'37'!T22+'38'!T22+'40'!T22+'42'!T22+'45'!T22+'48'!T22+'50'!T22+'55'!T22+'61'!T22+'76'!T22+'КЛ 77'!T22+'78'!T22+КТЛ!T22+'83'!T22+'3'!T23+'110'!T22+'116'!T22+'117'!T22+'1'!T23+'2'!T23</f>
        <v>10200</v>
      </c>
      <c r="U22" s="24">
        <f>'27'!U22+'37'!U22+'38'!U22+'40'!U22+'42'!U22+'45'!U22+'48'!U22+'50'!U22+'55'!U22+'61'!U22+'76'!U22+'КЛ 77'!U22+'78'!U22+КТЛ!U22+'83'!U22+'3'!U23+'110'!U22+'116'!U22+'117'!U22+'1'!U23+'2'!U23</f>
        <v>0</v>
      </c>
      <c r="V22" s="24">
        <f>'27'!V22+'37'!V22+'38'!V22+'40'!V22+'42'!V22+'45'!V22+'48'!V22+'50'!V22+'55'!V22+'61'!V22+'76'!V22+'КЛ 77'!V22+'78'!V22+КТЛ!V22+'83'!V22+'3'!V23+'110'!V22+'116'!V22+'117'!V22+'1'!V23+'2'!V23</f>
        <v>0</v>
      </c>
      <c r="W22" s="24">
        <f>'27'!W22+'37'!W22+'38'!W22+'40'!W22+'42'!W22+'45'!W22+'48'!W22+'50'!W22+'55'!W22+'61'!W22+'76'!W22+'КЛ 77'!W22+'78'!W22+КТЛ!W22+'83'!W22+'3'!W23+'110'!W22+'116'!W22+'117'!W22+'1'!W23+'2'!W23</f>
        <v>0</v>
      </c>
      <c r="X22" s="24">
        <f>'27'!X22+'37'!X22+'38'!X22+'40'!X22+'42'!X22+'45'!X22+'48'!X22+'50'!X22+'55'!X22+'61'!X22+'76'!X22+'КЛ 77'!X22+'78'!X22+КТЛ!X22+'83'!X22+'3'!X23+'110'!X22+'116'!X22+'117'!X22+'1'!X23+'2'!X23</f>
        <v>0</v>
      </c>
      <c r="Y22" s="24">
        <f>'27'!Y22+'37'!Y22+'38'!Y22+'40'!Y22+'42'!Y22+'45'!Y22+'48'!Y22+'50'!Y22+'55'!Y22+'61'!Y22+'76'!Y22+'КЛ 77'!Y22+'78'!Y22+КТЛ!Y22+'83'!Y22+'3'!Y23+'110'!Y22+'116'!Y22+'117'!Y22+'1'!Y23+'2'!Y23</f>
        <v>12000</v>
      </c>
      <c r="Z22" s="24">
        <f>'27'!Z22+'37'!Z22+'38'!Z22+'40'!Z22+'42'!Z22+'45'!Z22+'48'!Z22+'50'!Z22+'55'!Z22+'61'!Z22+'76'!Z22+'КЛ 77'!Z22+'78'!Z22+КТЛ!Z22+'83'!Z22+'3'!Z23+'110'!Z22+'116'!Z22+'117'!Z22+'1'!Z23+'2'!Z23</f>
        <v>12000</v>
      </c>
      <c r="AA22" s="24">
        <f>'27'!AA22+'37'!AA22+'38'!AA22+'40'!AA22+'42'!AA22+'45'!AA22+'48'!AA22+'50'!AA22+'55'!AA22+'61'!AA22+'76'!AA22+'КЛ 77'!AA22+'78'!AA22+КТЛ!AA22+'83'!AA22+'3'!AA23+'110'!AA22+'116'!AA22+'117'!AA22+'1'!AA23+'2'!AA23</f>
        <v>0</v>
      </c>
      <c r="AB22" s="24">
        <f>'27'!AB22+'37'!AB22+'38'!AB22+'40'!AB22+'42'!AB22+'45'!AB22+'48'!AB22+'50'!AB22+'55'!AB22+'61'!AB22+'76'!AB22+'КЛ 77'!AB22+'78'!AB22+КТЛ!AB22+'83'!AB22+'3'!AB23+'110'!AB22+'116'!AB22+'117'!AB22+'1'!AB23+'2'!AB23</f>
        <v>0</v>
      </c>
      <c r="AC22" s="24">
        <f>'27'!AC22+'37'!AC22+'38'!AC22+'40'!AC22+'42'!AC22+'45'!AC22+'48'!AC22+'50'!AC22+'55'!AC22+'61'!AC22+'76'!AC22+'КЛ 77'!AC22+'78'!AC22+КТЛ!AC22+'83'!AC22+'3'!AC23+'110'!AC22+'116'!AC22+'117'!AC22+'1'!AC23+'2'!AC23</f>
        <v>0</v>
      </c>
      <c r="AD22" s="24">
        <f>'27'!AD22+'37'!AD22+'38'!AD22+'40'!AD22+'42'!AD22+'45'!AD22+'48'!AD22+'50'!AD22+'55'!AD22+'61'!AD22+'76'!AD22+'КЛ 77'!AD22+'78'!AD22+КТЛ!AD22+'83'!AD22+'3'!AD23+'110'!AD22+'116'!AD22+'117'!AD22+'1'!AD23+'2'!AD23</f>
        <v>0</v>
      </c>
      <c r="AE22" s="24">
        <f>'27'!AE22+'37'!AE22+'38'!AE22+'40'!AE22+'42'!AE22+'45'!AE22+'48'!AE22+'50'!AE22+'55'!AE22+'61'!AE22+'76'!AE22+'КЛ 77'!AE22+'78'!AE22+КТЛ!AE22+'83'!AE22+'3'!AE23+'110'!AE22+'116'!AE22+'117'!AE22+'1'!AE23+'2'!AE23</f>
        <v>0</v>
      </c>
      <c r="AF22" s="24">
        <f>'27'!AF22+'37'!AF22+'38'!AF22+'40'!AF22+'42'!AF22+'45'!AF22+'48'!AF22+'50'!AF22+'55'!AF22+'61'!AF22+'76'!AF22+'КЛ 77'!AF22+'78'!AF22+КТЛ!AF22+'83'!AF22+'3'!AF23+'110'!AF22+'116'!AF22+'117'!AF22+'1'!AF23+'2'!AF23</f>
        <v>0</v>
      </c>
      <c r="AG22" s="24">
        <f>'27'!AG22+'37'!AG22+'38'!AG22+'40'!AG22+'42'!AG22+'45'!AG22+'48'!AG22+'50'!AG22+'55'!AG22+'61'!AG22+'76'!AG22+'КЛ 77'!AG22+'78'!AG22+КТЛ!AG22+'83'!AG22+'3'!AG23+'110'!AG22+'116'!AG22+'117'!AG22+'1'!AG23+'2'!AG23</f>
        <v>0</v>
      </c>
      <c r="AH22" s="24">
        <f>'27'!AH22+'37'!AH22+'38'!AH22+'40'!AH22+'42'!AH22+'45'!AH22+'48'!AH22+'50'!AH22+'55'!AH22+'61'!AH22+'76'!AH22+'КЛ 77'!AH22+'78'!AH22+КТЛ!AH22+'83'!AH22+'3'!AH23+'110'!AH22+'116'!AH22+'117'!AH22+'1'!AH23+'2'!AH23</f>
        <v>0</v>
      </c>
      <c r="AI22" s="24">
        <f>'27'!AI22+'37'!AI22+'38'!AI22+'40'!AI22+'42'!AI22+'45'!AI22+'48'!AI22+'50'!AI22+'55'!AI22+'61'!AI22+'76'!AI22+'КЛ 77'!AI22+'78'!AI22+КТЛ!AI22+'83'!AI22+'3'!AI23+'110'!AI22+'116'!AI22+'117'!AI22+'1'!AI23+'2'!AI23</f>
        <v>0</v>
      </c>
      <c r="AJ22" s="24">
        <f>'27'!AJ22+'37'!AJ22+'38'!AJ22+'40'!AJ22+'42'!AJ22+'45'!AJ22+'48'!AJ22+'50'!AJ22+'55'!AJ22+'61'!AJ22+'76'!AJ22+'КЛ 77'!AJ22+'78'!AJ22+КТЛ!AJ22+'83'!AJ22+'3'!AJ23+'110'!AJ22+'116'!AJ22+'117'!AJ22+'1'!AJ23+'2'!AJ23</f>
        <v>0</v>
      </c>
      <c r="AK22" s="24">
        <f>'27'!AK22+'37'!AK22+'38'!AK22+'40'!AK22+'42'!AK22+'45'!AK22+'48'!AK22+'50'!AK22+'55'!AK22+'61'!AK22+'76'!AK22+'КЛ 77'!AK22+'78'!AK22+КТЛ!AK22+'83'!AK22+'3'!AK23+'110'!AK22+'116'!AK22+'117'!AK22+'1'!AK23+'2'!AK23</f>
        <v>0</v>
      </c>
      <c r="AL22" s="24">
        <f>'27'!AL22+'37'!AL22+'38'!AL22+'40'!AL22+'42'!AL22+'45'!AL22+'48'!AL22+'50'!AL22+'55'!AL22+'61'!AL22+'76'!AL22+'КЛ 77'!AL22+'78'!AL22+КТЛ!AL22+'83'!AL22+'3'!AL23+'110'!AL22+'116'!AL22+'117'!AL22+'1'!AL23+'2'!AL23</f>
        <v>0</v>
      </c>
      <c r="AM22" s="26">
        <f>'27'!AM22+'37'!AM22+'38'!AM22+'40'!AM22+'42'!AM22+'45'!AM22+'48'!AM22+'50'!AM22+'55'!AM22+'61'!AM22+'76'!AM22+'КЛ 77'!AM22+'78'!AM22+КТЛ!AM22+'83'!AM22+'3'!AM23+'110'!AM22+'116'!AM22+'117'!AM22+'1'!AM23+'2'!AM23</f>
        <v>0</v>
      </c>
      <c r="AN22" s="26">
        <f>'27'!AN22+'37'!AN22+'38'!AN22+'40'!AN22+'42'!AN22+'45'!AN22+'48'!AN22+'50'!AN22+'55'!AN22+'61'!AN22+'76'!AN22+'КЛ 77'!AN22+'78'!AN22+КТЛ!AN22+'83'!AN22+'3'!AN23+'110'!AN22+'116'!AN22+'117'!AN22+'1'!AN23+'2'!AN23</f>
        <v>27960</v>
      </c>
      <c r="AO22" s="42">
        <f>'27'!AO22+'37'!AO22+'38'!AO22+'40'!AO22+'42'!AO22+'45'!AO22+'48'!AO22+'50'!AO22+'55'!AO22+'61'!AO22+'76'!AO22+'КЛ 77'!AO22+'78'!AO22+КТЛ!AO22+'83'!AO22+'3'!AO23+'110'!AO22+'116'!AO22+'117'!AO22+'1'!AO23+'2'!AO23</f>
        <v>27960</v>
      </c>
      <c r="AP22" s="39"/>
      <c r="AQ22" s="28">
        <v>2282</v>
      </c>
    </row>
    <row r="23" spans="1:44" s="28" customFormat="1" ht="20.25" customHeight="1">
      <c r="A23" s="31">
        <v>2700</v>
      </c>
      <c r="B23" s="3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6"/>
      <c r="AN23" s="26">
        <f>'27'!AN23+'37'!AN23+'38'!AN23+'40'!AN23+'42'!AN23+'45'!AN23+'48'!AN23+'50'!AN23+'55'!AN23+'61'!AN23+'76'!AN23+'КЛ 77'!AN23+'78'!AN23+КТЛ!AN23+'83'!AN23+'3'!AN24+'110'!AN23+'116'!AN23+'117'!AN23+'1'!AN24+'2'!AN24</f>
        <v>0</v>
      </c>
      <c r="AO23" s="42">
        <f>'27'!AO23+'37'!AO23+'38'!AO23+'40'!AO23+'42'!AO23+'45'!AO23+'48'!AO23+'50'!AO23+'55'!AO23+'61'!AO23+'76'!AO23+'КЛ 77'!AO23+'78'!AO23+КТЛ!AO23+'83'!AO23+'3'!AO24+'110'!AO23+'116'!AO23+'117'!AO23+'1'!AO24+'2'!AO24</f>
        <v>0</v>
      </c>
      <c r="AP23" s="39"/>
    </row>
    <row r="24" spans="1:44" s="28" customFormat="1" ht="26.25" customHeight="1">
      <c r="A24" s="23">
        <v>2800</v>
      </c>
      <c r="B24" s="23" t="s">
        <v>44</v>
      </c>
      <c r="C24" s="24">
        <f>'27'!C24+'37'!C24+'38'!C23+'40'!C24+'42'!C24+'45'!C24+'48'!C24+'50'!C24+'55'!C24+'61'!C24+'76'!C24+'КЛ 77'!C24+'78'!C24+КТЛ!C24+'83'!C24+'3'!C24+'110'!C23+'116'!C24+'117'!C24+'1'!C24+'2'!C24</f>
        <v>0</v>
      </c>
      <c r="D24" s="24">
        <f>'27'!D24+'37'!D24+'38'!D23+'40'!D24+'42'!D24+'45'!D24+'48'!D24+'50'!D24+'55'!D24+'61'!D24+'76'!D24+'КЛ 77'!D24+'78'!D24+КТЛ!D24+'83'!D24+'3'!D24+'110'!D23+'116'!D24+'117'!D24+'1'!D24+'2'!D24</f>
        <v>0</v>
      </c>
      <c r="E24" s="24">
        <f>'27'!E24+'37'!E24+'38'!E23+'40'!E24+'42'!E24+'45'!E24+'48'!E24+'50'!E24+'55'!E24+'61'!E24+'76'!E24+'КЛ 77'!E24+'78'!E24+КТЛ!E24+'83'!E24+'3'!E24+'110'!E23+'116'!E24+'117'!E24+'1'!E24+'2'!E24</f>
        <v>0</v>
      </c>
      <c r="F24" s="24">
        <f>'27'!F24+'37'!F24+'38'!F23+'40'!F24+'42'!F24+'45'!F24+'48'!F24+'50'!F24+'55'!F24+'61'!F24+'76'!F24+'КЛ 77'!F24+'78'!F24+КТЛ!F24+'83'!F24+'3'!F24+'110'!F23+'116'!F24+'117'!F24+'1'!F24+'2'!F24</f>
        <v>0</v>
      </c>
      <c r="G24" s="24">
        <f>'27'!G24+'37'!G24+'38'!G23+'40'!G24+'42'!G24+'45'!G24+'48'!G24+'50'!G24+'55'!G24+'61'!G24+'76'!G24+'КЛ 77'!G24+'78'!G24+КТЛ!G24+'83'!G24+'3'!G24+'110'!G23+'116'!G24+'117'!G24+'1'!G24+'2'!G24</f>
        <v>0</v>
      </c>
      <c r="H24" s="24">
        <f>'27'!H24+'37'!H24+'38'!H23+'40'!H24+'42'!H24+'45'!H24+'48'!H24+'50'!H24+'55'!H24+'61'!H24+'76'!H24+'КЛ 77'!H24+'78'!H24+КТЛ!H24+'83'!H24+'3'!H24+'110'!H23+'116'!H24+'117'!H24+'1'!H24+'2'!H24</f>
        <v>0</v>
      </c>
      <c r="I24" s="24">
        <f>'27'!I24+'37'!I24+'38'!I23+'40'!I24+'42'!I24+'45'!I24+'48'!I24+'50'!I24+'55'!I24+'61'!I24+'76'!I24+'КЛ 77'!I24+'78'!I24+КТЛ!I24+'83'!I24+'3'!I24+'110'!I23+'116'!I24+'117'!I24+'1'!I24+'2'!I24</f>
        <v>0</v>
      </c>
      <c r="J24" s="24">
        <f>'27'!J24+'37'!J24+'38'!J24+'40'!J24+'42'!J24+'45'!J24+'48'!J24+'50'!J24+'55'!J24+'61'!J24+'76'!J24+'КЛ 77'!J24+'78'!J24+КТЛ!J24+'83'!J24+'110'!J24+'116'!J24+'117'!J24</f>
        <v>0</v>
      </c>
      <c r="K24" s="24">
        <f>'27'!K24+'37'!K24+'38'!K24+'40'!K24+'42'!K24+'45'!K24+'48'!K24+'50'!K24+'55'!K24+'61'!K24+'76'!K24+'КЛ 77'!K24+'78'!K24+КТЛ!K24+'83'!K24+'110'!K24+'116'!K24+'117'!K24</f>
        <v>0</v>
      </c>
      <c r="L24" s="24">
        <f>'27'!L24+'37'!L24+'38'!L23+'40'!L24+'42'!L24+'45'!L24+'48'!L24+'50'!L24+'55'!L24+'61'!L24+'76'!L24+'КЛ 77'!L24+'78'!L24+КТЛ!L24+'83'!L24+'3'!L24+'110'!L23+'116'!L24+'117'!L24+'1'!L24+'2'!L24</f>
        <v>0</v>
      </c>
      <c r="M24" s="24">
        <f>'27'!M24+'37'!M24+'38'!M23+'40'!M24+'42'!M24+'45'!M24+'48'!M24+'50'!M24+'55'!M24+'61'!M24+'76'!M24+'КЛ 77'!M24+'78'!M24+КТЛ!M24+'83'!M24+'3'!M24+'110'!M23+'116'!M24+'117'!M24+'1'!M24+'2'!M24</f>
        <v>0</v>
      </c>
      <c r="N24" s="24">
        <f>'27'!N24+'37'!N24+'38'!N23+'40'!N24+'42'!N24+'45'!N24+'48'!N24+'50'!N24+'55'!N24+'61'!N24+'76'!N24+'КЛ 77'!N24+'78'!N24+КТЛ!N24+'83'!N24+'3'!N24+'110'!N23+'116'!N24+'117'!N24+'1'!N24+'2'!N24</f>
        <v>0</v>
      </c>
      <c r="O24" s="24">
        <f>'27'!O24+'37'!O24+'38'!O23+'40'!O24+'42'!O24+'45'!O24+'48'!O24+'50'!O24+'55'!O24+'61'!O24+'76'!O24+'КЛ 77'!O24+'78'!O24+КТЛ!O24+'83'!O24+'3'!O24+'110'!O23+'116'!O24+'117'!O24+'1'!O24+'2'!O24</f>
        <v>0</v>
      </c>
      <c r="P24" s="24">
        <f>'27'!P24+'37'!P24+'38'!P23+'40'!P24+'42'!P24+'45'!P24+'48'!P24+'50'!P24+'55'!P24+'61'!P24+'76'!P24+'КЛ 77'!P24+'78'!P24+КТЛ!P24+'83'!P24+'3'!P24+'110'!P23+'116'!P24+'117'!P24+'1'!P24+'2'!P24</f>
        <v>107087.18</v>
      </c>
      <c r="Q24" s="24">
        <f>'27'!Q24+'37'!Q24+'38'!Q23+'40'!Q24+'42'!Q24+'45'!Q24+'48'!Q24+'50'!Q24+'55'!Q24+'61'!Q24+'76'!Q24+'КЛ 77'!Q24+'78'!Q24+КТЛ!Q24+'83'!Q24+'3'!Q24+'110'!Q23+'116'!Q24+'117'!Q24+'1'!Q24+'2'!Q24</f>
        <v>107087.18</v>
      </c>
      <c r="R24" s="24">
        <f>'27'!R24+'37'!R24+'38'!R23+'40'!R24+'42'!R24+'45'!R24+'48'!R24+'50'!R24+'55'!R24+'61'!R24+'76'!R24+'КЛ 77'!R24+'78'!R24+КТЛ!R24+'83'!R24+'3'!R24+'110'!R23+'116'!R24+'117'!R24+'1'!R24+'2'!R24</f>
        <v>0</v>
      </c>
      <c r="S24" s="24">
        <f>'27'!S24+'37'!S24+'38'!S23+'40'!S24+'42'!S24+'45'!S24+'48'!S24+'50'!S24+'55'!S24+'61'!S24+'76'!S24+'КЛ 77'!S24+'78'!S24+КТЛ!S24+'83'!S24+'3'!S24+'110'!S23+'116'!S24+'117'!S24+'1'!S24+'2'!S24</f>
        <v>0</v>
      </c>
      <c r="T24" s="24">
        <f>'27'!T24+'37'!T24+'38'!T23+'40'!T24+'42'!T24+'45'!T24+'48'!T24+'50'!T24+'55'!T24+'61'!T24+'76'!T24+'КЛ 77'!T24+'78'!T24+КТЛ!T24+'83'!T24+'3'!T24+'110'!T23+'116'!T24+'117'!T24+'1'!T24+'2'!T24</f>
        <v>0</v>
      </c>
      <c r="U24" s="24">
        <f>'27'!U24+'37'!U24+'38'!U23+'40'!U24+'42'!U24+'45'!U24+'48'!U24+'50'!U24+'55'!U24+'61'!U24+'76'!U24+'КЛ 77'!U24+'78'!U24+КТЛ!U24+'83'!U24+'3'!U24+'110'!U23+'116'!U24+'117'!U24+'1'!U24+'2'!U24</f>
        <v>0</v>
      </c>
      <c r="V24" s="24">
        <f>'27'!V24+'37'!V24+'38'!V23+'40'!V24+'42'!V24+'45'!V24+'48'!V24+'50'!V24+'55'!V24+'61'!V24+'76'!V24+'КЛ 77'!V24+'78'!V24+КТЛ!V24+'83'!V24+'3'!V24+'110'!V23+'116'!V24+'117'!V24+'1'!V24+'2'!V24</f>
        <v>0</v>
      </c>
      <c r="W24" s="24">
        <f>'27'!W24+'37'!W24+'38'!W23+'40'!W24+'42'!W24+'45'!W24+'48'!W24+'50'!W24+'55'!W24+'61'!W24+'76'!W24+'КЛ 77'!W24+'78'!W24+КТЛ!W24+'83'!W24+'3'!W24+'110'!W23+'116'!W24+'117'!W24+'1'!W24+'2'!W24</f>
        <v>0</v>
      </c>
      <c r="X24" s="24">
        <f>'27'!X24+'37'!X24+'38'!X23+'40'!X24+'42'!X24+'45'!X24+'48'!X24+'50'!X24+'55'!X24+'61'!X24+'76'!X24+'КЛ 77'!X24+'78'!X24+КТЛ!X24+'83'!X24+'3'!X24+'110'!X23+'116'!X24+'117'!X24+'1'!X24+'2'!X24</f>
        <v>0</v>
      </c>
      <c r="Y24" s="24">
        <f>'27'!Y24+'37'!Y24+'38'!Y23+'40'!Y24+'42'!Y24+'45'!Y24+'48'!Y24+'50'!Y24+'55'!Y24+'61'!Y24+'76'!Y24+'КЛ 77'!Y24+'78'!Y24+КТЛ!Y24+'83'!Y24+'3'!Y24+'110'!Y23+'116'!Y24+'117'!Y24+'1'!Y24+'2'!Y24</f>
        <v>50894.87999999999</v>
      </c>
      <c r="Z24" s="24">
        <f>'27'!Z24+'37'!Z24+'38'!Z23+'40'!Z24+'42'!Z24+'45'!Z24+'48'!Z24+'50'!Z24+'55'!Z24+'61'!Z24+'76'!Z24+'КЛ 77'!Z24+'78'!Z24+КТЛ!Z24+'83'!Z24+'3'!Z24+'110'!Z23+'116'!Z24+'117'!Z24+'1'!Z24+'2'!Z24</f>
        <v>50894.87999999999</v>
      </c>
      <c r="AA24" s="24">
        <f>'27'!AA24+'37'!AA24+'38'!AA23+'40'!AA24+'42'!AA24+'45'!AA24+'48'!AA24+'50'!AA24+'55'!AA24+'61'!AA24+'76'!AA24+'КЛ 77'!AA24+'78'!AA24+КТЛ!AA24+'83'!AA24+'3'!AA24+'110'!AA23+'116'!AA24+'117'!AA24+'1'!AA24+'2'!AA24</f>
        <v>0</v>
      </c>
      <c r="AB24" s="24">
        <f>'27'!AB24+'37'!AB24+'38'!AB23+'40'!AB24+'42'!AB24+'45'!AB24+'48'!AB24+'50'!AB24+'55'!AB24+'61'!AB24+'76'!AB24+'КЛ 77'!AB24+'78'!AB24+КТЛ!AB24+'83'!AB24+'3'!AB24+'110'!AB23+'116'!AB24+'117'!AB24+'1'!AB24+'2'!AB24</f>
        <v>0</v>
      </c>
      <c r="AC24" s="24">
        <f>'27'!AC24+'37'!AC24+'38'!AC23+'40'!AC24+'42'!AC24+'45'!AC24+'48'!AC24+'50'!AC24+'55'!AC24+'61'!AC24+'76'!AC24+'КЛ 77'!AC24+'78'!AC24+КТЛ!AC24+'83'!AC24+'3'!AC24+'110'!AC23+'116'!AC24+'117'!AC24+'1'!AC24+'2'!AC24</f>
        <v>0</v>
      </c>
      <c r="AD24" s="24">
        <f>'27'!AD24+'37'!AD24+'38'!AD23+'40'!AD24+'42'!AD24+'45'!AD24+'48'!AD24+'50'!AD24+'55'!AD24+'61'!AD24+'76'!AD24+'КЛ 77'!AD24+'78'!AD24+КТЛ!AD24+'83'!AD24+'3'!AD24+'110'!AD23+'116'!AD24+'117'!AD24+'1'!AD24+'2'!AD24</f>
        <v>0</v>
      </c>
      <c r="AE24" s="24">
        <f>'27'!AE24+'37'!AE24+'38'!AE23+'40'!AE24+'42'!AE24+'45'!AE24+'48'!AE24+'50'!AE24+'55'!AE24+'61'!AE24+'76'!AE24+'КЛ 77'!AE24+'78'!AE24+КТЛ!AE24+'83'!AE24+'3'!AE24+'110'!AE23+'116'!AE24+'117'!AE24+'1'!AE24+'2'!AE24</f>
        <v>0</v>
      </c>
      <c r="AF24" s="24">
        <f>'27'!AF24+'37'!AF24+'38'!AF23+'40'!AF24+'42'!AF24+'45'!AF24+'48'!AF24+'50'!AF24+'55'!AF24+'61'!AF24+'76'!AF24+'КЛ 77'!AF24+'78'!AF24+КТЛ!AF24+'83'!AF24+'3'!AF24+'110'!AF23+'116'!AF24+'117'!AF24+'1'!AF24+'2'!AF24</f>
        <v>0</v>
      </c>
      <c r="AG24" s="24">
        <f>'27'!AG24+'37'!AG24+'38'!AG23+'40'!AG24+'42'!AG24+'45'!AG24+'48'!AG24+'50'!AG24+'55'!AG24+'61'!AG24+'76'!AG24+'КЛ 77'!AG24+'78'!AG24+КТЛ!AG24+'83'!AG24+'3'!AG24+'110'!AG23+'116'!AG24+'117'!AG24+'1'!AG24+'2'!AG24</f>
        <v>0</v>
      </c>
      <c r="AH24" s="24">
        <f>'27'!AH24+'37'!AH24+'38'!AH23+'40'!AH24+'42'!AH24+'45'!AH24+'48'!AH24+'50'!AH24+'55'!AH24+'61'!AH24+'76'!AH24+'КЛ 77'!AH24+'78'!AH24+КТЛ!AH24+'83'!AH24+'3'!AH24+'110'!AH23+'116'!AH24+'117'!AH24+'1'!AH24+'2'!AH24</f>
        <v>0</v>
      </c>
      <c r="AI24" s="24">
        <f>'27'!AI24+'37'!AI24+'38'!AI23+'40'!AI24+'42'!AI24+'45'!AI24+'48'!AI24+'50'!AI24+'55'!AI24+'61'!AI24+'76'!AI24+'КЛ 77'!AI24+'78'!AI24+КТЛ!AI24+'83'!AI24+'3'!AI24+'110'!AI23+'116'!AI24+'117'!AI24+'1'!AI24+'2'!AI24</f>
        <v>0</v>
      </c>
      <c r="AJ24" s="24">
        <f>'27'!AJ24+'37'!AJ24+'38'!AJ23+'40'!AJ24+'42'!AJ24+'45'!AJ24+'48'!AJ24+'50'!AJ24+'55'!AJ24+'61'!AJ24+'76'!AJ24+'КЛ 77'!AJ24+'78'!AJ24+КТЛ!AJ24+'83'!AJ24+'3'!AJ24+'110'!AJ23+'116'!AJ24+'117'!AJ24+'1'!AJ24+'2'!AJ24</f>
        <v>0</v>
      </c>
      <c r="AK24" s="24">
        <f>'27'!AK24+'37'!AK24+'38'!AK23+'40'!AK24+'42'!AK24+'45'!AK24+'48'!AK24+'50'!AK24+'55'!AK24+'61'!AK24+'76'!AK24+'КЛ 77'!AK24+'78'!AK24+КТЛ!AK24+'83'!AK24+'3'!AK24+'110'!AK23+'116'!AK24+'117'!AK24+'1'!AK24+'2'!AK24</f>
        <v>0</v>
      </c>
      <c r="AL24" s="24">
        <f>'27'!AL24+'37'!AL24+'38'!AL23+'40'!AL24+'42'!AL24+'45'!AL24+'48'!AL24+'50'!AL24+'55'!AL24+'61'!AL24+'76'!AL24+'КЛ 77'!AL24+'78'!AL24+КТЛ!AL24+'83'!AL24+'3'!AL24+'110'!AL23+'116'!AL24+'117'!AL24+'1'!AL24+'2'!AL24</f>
        <v>0</v>
      </c>
      <c r="AM24" s="24">
        <f>'27'!AM24+'37'!AM24+'38'!AM23+'40'!AM24+'42'!AM24+'45'!AM24+'48'!AM24+'50'!AM24+'55'!AM24+'61'!AM24+'76'!AM24+'КЛ 77'!AM24+'78'!AM24+КТЛ!AM24+'83'!AM24+'3'!AM24+'110'!AM23+'116'!AM24+'117'!AM24+'1'!AM24+'2'!AM24</f>
        <v>0</v>
      </c>
      <c r="AN24" s="26">
        <f>'27'!AN24+'37'!AN24+'38'!AN24+'40'!AN24+'42'!AN24+'45'!AN24+'48'!AN24+'50'!AN24+'55'!AN24+'61'!AN24+'76'!AN24+'КЛ 77'!AN24+'78'!AN24+КТЛ!AN24+'83'!AN24+'3'!AN25+'110'!AN24+'116'!AN24+'117'!AN24+'1'!AN25+'2'!AN25</f>
        <v>225358.81000000023</v>
      </c>
      <c r="AO24" s="42">
        <f>'27'!AO24+'37'!AO24+'38'!AO24+'40'!AO24+'42'!AO24+'45'!AO24+'48'!AO24+'50'!AO24+'55'!AO24+'61'!AO24+'76'!AO24+'КЛ 77'!AO24+'78'!AO24+КТЛ!AO24+'83'!AO24+'3'!AO25+'110'!AO24+'116'!AO24+'117'!AO24+'1'!AO25+'2'!AO25</f>
        <v>225358.81000000023</v>
      </c>
      <c r="AP24" s="39"/>
    </row>
    <row r="25" spans="1:44" s="28" customFormat="1" ht="30" customHeight="1">
      <c r="A25" s="23">
        <v>3110</v>
      </c>
      <c r="B25" s="5" t="s">
        <v>15</v>
      </c>
      <c r="C25" s="24">
        <f>'27'!C25+'37'!C25+'38'!C24+'40'!C25+'42'!C25+'45'!C25+'48'!C25+'50'!C25+'55'!C25+'61'!C25+'76'!C25+'КЛ 77'!C25+'78'!C25+КТЛ!C25+'83'!C25+'3'!C24+'110'!C24+'116'!C25+'117'!C25+'1'!C24+'2'!C24</f>
        <v>0</v>
      </c>
      <c r="D25" s="24">
        <f>'27'!D25+'37'!D25+'38'!D24+'40'!D25+'42'!D25+'45'!D25+'48'!D25+'50'!D25+'55'!D25+'61'!D25+'76'!D25+'КЛ 77'!D25+'78'!D25+КТЛ!D25+'83'!D25+'3'!D24+'110'!D24+'116'!D25+'117'!D25+'1'!D24+'2'!D24</f>
        <v>0</v>
      </c>
      <c r="E25" s="24">
        <f t="shared" si="0"/>
        <v>0</v>
      </c>
      <c r="F25" s="24">
        <f>'27'!F25+'37'!F25+'38'!F24+'40'!F25+'42'!F25+'45'!F25+'48'!F25+'50'!F25+'55'!F25+'61'!F25+'76'!F25+'КЛ 77'!F25+'78'!F25+КТЛ!F25+'83'!F25+'3'!F24+'110'!F24+'116'!F25+'117'!F25+'1'!F24+'2'!F24</f>
        <v>0</v>
      </c>
      <c r="G25" s="24">
        <f>'27'!G25+'37'!G25+'38'!G24+'40'!G25+'42'!G25+'45'!G25+'48'!G25+'50'!G25+'55'!G25+'61'!G25+'76'!G25+'КЛ 77'!G25+'78'!G25+КТЛ!G25+'83'!G25+'3'!G24+'110'!G24+'116'!G25+'117'!G25+'1'!G24+'2'!G24</f>
        <v>0</v>
      </c>
      <c r="H25" s="24">
        <f>'27'!H25+'37'!H25+'38'!H24+'40'!H25+'42'!H25+'45'!H25+'48'!H25+'50'!H25+'55'!H25+'61'!H25+'76'!H25+'КЛ 77'!H25+'78'!H25+КТЛ!H25+'83'!H25+'3'!H24+'110'!H24+'116'!H25+'117'!H25+'1'!H24+'2'!H24</f>
        <v>0</v>
      </c>
      <c r="I25" s="24">
        <f>'27'!I25+'37'!I25+'38'!I24+'40'!I25+'42'!I25+'45'!I25+'48'!I25+'50'!I25+'55'!I25+'61'!I25+'76'!I25+'КЛ 77'!I25+'78'!I25+КТЛ!I25+'83'!I25+'3'!I24+'110'!I24+'116'!I25+'117'!I25+'1'!I24+'2'!I24</f>
        <v>0</v>
      </c>
      <c r="J25" s="24">
        <f>'27'!J25+'37'!J25+'38'!J25+'40'!J25+'42'!J25+'45'!J25+'48'!J25+'50'!J25+'55'!J25+'61'!J25+'76'!J25+'КЛ 77'!J25+'78'!J25+КТЛ!J25+'83'!J25+'110'!J25+'116'!J25+'117'!J25</f>
        <v>0</v>
      </c>
      <c r="K25" s="24">
        <f>'27'!K25+'37'!K25+'38'!K25+'40'!K25+'42'!K25+'45'!K25+'48'!K25+'50'!K25+'55'!K25+'61'!K25+'76'!K25+'КЛ 77'!K25+'78'!K25+КТЛ!K25+'83'!K25+'110'!K25+'116'!K25+'117'!K25</f>
        <v>0</v>
      </c>
      <c r="L25" s="24">
        <f>'27'!L25+'37'!L25+'38'!L24+'40'!L25+'42'!L25+'45'!L25+'48'!L25+'50'!L25+'55'!L25+'61'!L25+'76'!L25+'КЛ 77'!L25+'78'!L25+КТЛ!L25+'83'!L25+'3'!L24+'110'!L24+'116'!L25+'117'!L25+'1'!L24+'2'!L24</f>
        <v>0</v>
      </c>
      <c r="M25" s="24">
        <f>'27'!M25+'37'!M25+'38'!M24+'40'!M25+'42'!M25+'45'!M25+'48'!M25+'50'!M25+'55'!M25+'61'!M25+'76'!M25+'КЛ 77'!M25+'78'!M25+КТЛ!M25+'83'!M25+'3'!M24+'110'!M24+'116'!M25+'117'!M25+'1'!M24+'2'!M24</f>
        <v>0</v>
      </c>
      <c r="N25" s="24">
        <f>'27'!N25+'37'!N25+'38'!N24+'40'!N25+'42'!N25+'45'!N25+'48'!N25+'50'!N25+'55'!N25+'61'!N25+'76'!N25+'КЛ 77'!N25+'78'!N25+КТЛ!N25+'83'!N25+'3'!N24+'110'!N24+'116'!N25+'117'!N25+'1'!N24+'2'!N24</f>
        <v>0</v>
      </c>
      <c r="O25" s="24">
        <f>'27'!O25+'37'!O25+'38'!O24+'40'!O25+'42'!O25+'45'!O25+'48'!O25+'50'!O25+'55'!O25+'61'!O25+'76'!O25+'КЛ 77'!O25+'78'!O25+КТЛ!O25+'83'!O25+'3'!O24+'110'!O24+'116'!O25+'117'!O25+'1'!O24+'2'!O24</f>
        <v>0</v>
      </c>
      <c r="P25" s="24">
        <f>'27'!P25+'37'!P25+'38'!P24+'40'!P25+'42'!P25+'45'!P25+'48'!P25+'50'!P25+'55'!P25+'61'!P25+'76'!P25+'КЛ 77'!P25+'78'!P25+КТЛ!P25+'83'!P25+'3'!P24+'110'!P24+'116'!P25+'117'!P25+'1'!P24+'2'!P24</f>
        <v>29205.59</v>
      </c>
      <c r="Q25" s="24">
        <f>'27'!Q25+'37'!Q25+'38'!Q24+'40'!Q25+'42'!Q25+'45'!Q25+'48'!Q25+'50'!Q25+'55'!Q25+'61'!Q25+'76'!Q25+'КЛ 77'!Q25+'78'!Q25+КТЛ!Q25+'83'!Q25+'3'!Q24+'110'!Q24+'116'!Q25+'117'!Q25+'1'!Q24+'2'!Q24</f>
        <v>29205.59</v>
      </c>
      <c r="R25" s="24">
        <f>'27'!R25+'37'!R25+'38'!R24+'40'!R25+'42'!R25+'45'!R25+'48'!R25+'50'!R25+'55'!R25+'61'!R25+'76'!R25+'КЛ 77'!R25+'78'!R25+КТЛ!R25+'83'!R25+'3'!R24+'110'!R24+'116'!R25+'117'!R25+'1'!R24+'2'!R24</f>
        <v>0</v>
      </c>
      <c r="S25" s="24">
        <f>'27'!S25+'37'!S25+'38'!S24+'40'!S25+'42'!S25+'45'!S25+'48'!S25+'50'!S25+'55'!S25+'61'!S25+'76'!S25+'КЛ 77'!S25+'78'!S25+КТЛ!S25+'83'!S25+'3'!S24+'110'!S24+'116'!S25+'117'!S25+'1'!S24+'2'!S24</f>
        <v>0</v>
      </c>
      <c r="T25" s="24">
        <f>'27'!T25+'37'!T25+'38'!T24+'40'!T25+'42'!T25+'45'!T25+'48'!T25+'50'!T25+'55'!T25+'61'!T25+'76'!T25+'КЛ 77'!T25+'78'!T25+КТЛ!T25+'83'!T25+'3'!T24+'110'!T24+'116'!T25+'117'!T25+'1'!T24+'2'!T24</f>
        <v>0</v>
      </c>
      <c r="U25" s="24">
        <f>'27'!U25+'37'!U25+'38'!U24+'40'!U25+'42'!U25+'45'!U25+'48'!U25+'50'!U25+'55'!U25+'61'!U25+'76'!U25+'КЛ 77'!U25+'78'!U25+КТЛ!U25+'83'!U25+'3'!U24+'110'!U24+'116'!U25+'117'!U25+'1'!U24+'2'!U24</f>
        <v>0</v>
      </c>
      <c r="V25" s="24">
        <f>'27'!V25+'37'!V25+'38'!V24+'40'!V25+'42'!V25+'45'!V25+'48'!V25+'50'!V25+'55'!V25+'61'!V25+'76'!V25+'КЛ 77'!V25+'78'!V25+КТЛ!V25+'83'!V25+'3'!V24+'110'!V24+'116'!V25+'117'!V25+'1'!V24+'2'!V24</f>
        <v>0</v>
      </c>
      <c r="W25" s="24">
        <f>'27'!W25+'37'!W25+'38'!W24+'40'!W25+'42'!W25+'45'!W25+'48'!W25+'50'!W25+'55'!W25+'61'!W25+'76'!W25+'КЛ 77'!W25+'78'!W25+КТЛ!W25+'83'!W25+'3'!W24+'110'!W24+'116'!W25+'117'!W25+'1'!W24+'2'!W24</f>
        <v>0</v>
      </c>
      <c r="X25" s="24">
        <f>'27'!X25+'37'!X25+'38'!X24+'40'!X25+'42'!X25+'45'!X25+'48'!X25+'50'!X25+'55'!X25+'61'!X25+'76'!X25+'КЛ 77'!X25+'78'!X25+КТЛ!X25+'83'!X25+'3'!X24+'110'!X24+'116'!X25+'117'!X25+'1'!X24+'2'!X24</f>
        <v>0</v>
      </c>
      <c r="Y25" s="24">
        <f>'27'!Y25+'37'!Y25+'38'!Y24+'40'!Y25+'42'!Y25+'45'!Y25+'48'!Y25+'50'!Y25+'55'!Y25+'61'!Y25+'76'!Y25+'КЛ 77'!Y25+'78'!Y25+КТЛ!Y25+'83'!Y25+'3'!Y24+'110'!Y24+'116'!Y25+'117'!Y25+'1'!Y24+'2'!Y24</f>
        <v>38171.160000000003</v>
      </c>
      <c r="Z25" s="24">
        <f>'27'!Z25+'37'!Z25+'38'!Z24+'40'!Z25+'42'!Z25+'45'!Z25+'48'!Z25+'50'!Z25+'55'!Z25+'61'!Z25+'76'!Z25+'КЛ 77'!Z25+'78'!Z25+КТЛ!Z25+'83'!Z25+'3'!Z24+'110'!Z24+'116'!Z25+'117'!Z25+'1'!Z24+'2'!Z24</f>
        <v>38171.160000000003</v>
      </c>
      <c r="AA25" s="24">
        <f>'27'!AA25+'37'!AA25+'38'!AA24+'40'!AA25+'42'!AA25+'45'!AA25+'48'!AA25+'50'!AA25+'55'!AA25+'61'!AA25+'76'!AA25+'КЛ 77'!AA25+'78'!AA25+КТЛ!AA25+'83'!AA25+'3'!AA24+'110'!AA24+'116'!AA25+'117'!AA25+'1'!AA24+'2'!AA24</f>
        <v>0</v>
      </c>
      <c r="AB25" s="24">
        <f>'27'!AB25+'37'!AB25+'38'!AB24+'40'!AB25+'42'!AB25+'45'!AB25+'48'!AB25+'50'!AB25+'55'!AB25+'61'!AB25+'76'!AB25+'КЛ 77'!AB25+'78'!AB25+КТЛ!AB25+'83'!AB25+'3'!AB24+'110'!AB24+'116'!AB25+'117'!AB25+'1'!AB24+'2'!AB24</f>
        <v>0</v>
      </c>
      <c r="AC25" s="24">
        <f>'27'!AC25+'37'!AC25+'38'!AC24+'40'!AC25+'42'!AC25+'45'!AC25+'48'!AC25+'50'!AC25+'55'!AC25+'61'!AC25+'76'!AC25+'КЛ 77'!AC25+'78'!AC25+КТЛ!AC25+'83'!AC25+'3'!AC24+'110'!AC24+'116'!AC25+'117'!AC25+'1'!AC24+'2'!AC24</f>
        <v>0</v>
      </c>
      <c r="AD25" s="24">
        <f>'27'!AD25+'37'!AD25+'38'!AD24+'40'!AD25+'42'!AD25+'45'!AD25+'48'!AD25+'50'!AD25+'55'!AD25+'61'!AD25+'76'!AD25+'КЛ 77'!AD25+'78'!AD25+КТЛ!AD25+'83'!AD25+'3'!AD24+'110'!AD24+'116'!AD25+'117'!AD25+'1'!AD24+'2'!AD24</f>
        <v>0</v>
      </c>
      <c r="AE25" s="24">
        <f>'27'!AE25+'37'!AE25+'38'!AE24+'40'!AE25+'42'!AE25+'45'!AE25+'48'!AE25+'50'!AE25+'55'!AE25+'61'!AE25+'76'!AE25+'КЛ 77'!AE25+'78'!AE25+КТЛ!AE25+'83'!AE25+'3'!AE24+'110'!AE24+'116'!AE25+'117'!AE25+'1'!AE24+'2'!AE24</f>
        <v>0</v>
      </c>
      <c r="AF25" s="24">
        <f>'27'!AF25+'37'!AF25+'38'!AF24+'40'!AF25+'42'!AF25+'45'!AF25+'48'!AF25+'50'!AF25+'55'!AF25+'61'!AF25+'76'!AF25+'КЛ 77'!AF25+'78'!AF25+КТЛ!AF25+'83'!AF25+'3'!AF24+'110'!AF24+'116'!AF25+'117'!AF25+'1'!AF24+'2'!AF24</f>
        <v>0</v>
      </c>
      <c r="AG25" s="24">
        <f>'27'!AG25+'37'!AG25+'38'!AG24+'40'!AG25+'42'!AG25+'45'!AG25+'48'!AG25+'50'!AG25+'55'!AG25+'61'!AG25+'76'!AG25+'КЛ 77'!AG25+'78'!AG25+КТЛ!AG25+'83'!AG25+'3'!AG24+'110'!AG24+'116'!AG25+'117'!AG25+'1'!AG24+'2'!AG24</f>
        <v>0</v>
      </c>
      <c r="AH25" s="24">
        <f>'27'!AH25+'37'!AH25+'38'!AH24+'40'!AH25+'42'!AH25+'45'!AH25+'48'!AH25+'50'!AH25+'55'!AH25+'61'!AH25+'76'!AH25+'КЛ 77'!AH25+'78'!AH25+КТЛ!AH25+'83'!AH25+'3'!AH24+'110'!AH24+'116'!AH25+'117'!AH25+'1'!AH24+'2'!AH24</f>
        <v>0</v>
      </c>
      <c r="AI25" s="24">
        <f>'27'!AI25+'37'!AI25+'38'!AI24+'40'!AI25+'42'!AI25+'45'!AI25+'48'!AI25+'50'!AI25+'55'!AI25+'61'!AI25+'76'!AI25+'КЛ 77'!AI25+'78'!AI25+КТЛ!AI25+'83'!AI25+'3'!AI24+'110'!AI24+'116'!AI25+'117'!AI25+'1'!AI24+'2'!AI24</f>
        <v>0</v>
      </c>
      <c r="AJ25" s="24">
        <f>'27'!AJ25+'37'!AJ25+'38'!AJ24+'40'!AJ25+'42'!AJ25+'45'!AJ25+'48'!AJ25+'50'!AJ25+'55'!AJ25+'61'!AJ25+'76'!AJ25+'КЛ 77'!AJ25+'78'!AJ25+КТЛ!AJ25+'83'!AJ25+'3'!AJ24+'110'!AJ24+'116'!AJ25+'117'!AJ25+'1'!AJ24+'2'!AJ24</f>
        <v>0</v>
      </c>
      <c r="AK25" s="24">
        <f>'27'!AK25+'37'!AK25+'38'!AK24+'40'!AK25+'42'!AK25+'45'!AK25+'48'!AK25+'50'!AK25+'55'!AK25+'61'!AK25+'76'!AK25+'КЛ 77'!AK25+'78'!AK25+КТЛ!AK25+'83'!AK25+'3'!AK24+'110'!AK24+'116'!AK25+'117'!AK25+'1'!AK24+'2'!AK24</f>
        <v>0</v>
      </c>
      <c r="AL25" s="24">
        <f>'27'!AL25+'37'!AL25+'38'!AL24+'40'!AL25+'42'!AL25+'45'!AL25+'48'!AL25+'50'!AL25+'55'!AL25+'61'!AL25+'76'!AL25+'КЛ 77'!AL25+'78'!AL25+КТЛ!AL25+'83'!AL25+'3'!AL24+'110'!AL24+'116'!AL25+'117'!AL25+'1'!AL24+'2'!AL24</f>
        <v>0</v>
      </c>
      <c r="AM25" s="26">
        <f>'27'!AM25+'37'!AM25+'38'!AM24+'40'!AM25+'42'!AM25+'45'!AM25+'48'!AM25+'50'!AM25+'55'!AM25+'61'!AM25+'76'!AM25+'КЛ 77'!AM25+'78'!AM25+КТЛ!AM25+'83'!AM25+'3'!AM24+'110'!AM24+'116'!AM25+'117'!AM25+'1'!AM24+'2'!AM24</f>
        <v>0</v>
      </c>
      <c r="AN25" s="26">
        <f>'27'!AN25+'37'!AN25+'38'!AN25+'40'!AN25+'42'!AN25+'45'!AN25+'48'!AN25+'50'!AN25+'55'!AN25+'61'!AN25+'76'!AN25+'КЛ 77'!AN25+'78'!AN25+КТЛ!AN25+'83'!AN25+'3'!AN26+'110'!AN25+'116'!AN25+'117'!AN25+'1'!AN26+'2'!AN26</f>
        <v>0</v>
      </c>
      <c r="AO25" s="42">
        <f>'27'!AO25+'37'!AO25+'38'!AO25+'40'!AO25+'42'!AO25+'45'!AO25+'48'!AO25+'50'!AO25+'55'!AO25+'61'!AO25+'76'!AO25+'КЛ 77'!AO25+'78'!AO25+КТЛ!AO25+'83'!AO25+'3'!AO26+'110'!AO25+'116'!AO25+'117'!AO25+'1'!AO26+'2'!AO26</f>
        <v>0</v>
      </c>
      <c r="AP25" s="39"/>
      <c r="AQ25" s="28">
        <v>2700</v>
      </c>
    </row>
    <row r="26" spans="1:44" s="28" customFormat="1" ht="20.100000000000001" customHeight="1">
      <c r="A26" s="23">
        <v>3132</v>
      </c>
      <c r="B26" s="3" t="s">
        <v>16</v>
      </c>
      <c r="C26" s="24"/>
      <c r="D26" s="24"/>
      <c r="E26" s="24">
        <f t="shared" si="0"/>
        <v>0</v>
      </c>
      <c r="F26" s="24"/>
      <c r="G26" s="24"/>
      <c r="H26" s="24">
        <f>'27'!H27+'37'!H27+'38'!H26+'40'!H27+'42'!H27+'45'!H27+'48'!H27+'50'!H27+'55'!H27+'61'!H27+'76'!H27+'КЛ 77'!H26+'78'!H27+КТЛ!H26+'83'!H27+'3'!H25+'110'!H26+'116'!H27+'117'!H27+'1'!H25+'2'!H25</f>
        <v>0</v>
      </c>
      <c r="I26" s="24"/>
      <c r="J26" s="24"/>
      <c r="K26" s="24">
        <f>'27'!K27+'37'!K27+'38'!K26+'40'!K27+'42'!K27+'45'!K27+'48'!K27+'50'!K27+'55'!K27+'61'!K27+'76'!K27+'КЛ 77'!K26+'78'!K27+КТЛ!K26+'83'!K27+'3'!K25+'110'!K26+'116'!K27+'117'!K27+'1'!K25+'2'!K25</f>
        <v>0</v>
      </c>
      <c r="L26" s="24"/>
      <c r="M26" s="24"/>
      <c r="N26" s="24">
        <f>'27'!N27+'37'!N27+'38'!N26+'40'!N27+'42'!N27+'45'!N27+'48'!N27+'50'!N27+'55'!N27+'61'!N27+'76'!N27+'КЛ 77'!N26+'78'!N27+КТЛ!N26+'83'!N27+'3'!N25+'110'!N26+'116'!N27+'117'!N27+'1'!N25+'2'!N25</f>
        <v>0</v>
      </c>
      <c r="O26" s="24"/>
      <c r="P26" s="24"/>
      <c r="Q26" s="24">
        <f>'27'!Q27+'37'!Q27+'38'!Q26+'40'!Q27+'42'!Q27+'45'!Q27+'48'!Q27+'50'!Q27+'55'!Q27+'61'!Q27+'76'!Q27+'КЛ 77'!Q26+'78'!Q27+КТЛ!Q26+'83'!Q27+'3'!Q25+'110'!Q26+'116'!Q27+'117'!Q27+'1'!Q25+'2'!Q25</f>
        <v>0</v>
      </c>
      <c r="R26" s="24"/>
      <c r="S26" s="24"/>
      <c r="T26" s="24">
        <f>'27'!T27+'37'!T27+'38'!T26+'40'!T27+'42'!T27+'45'!T27+'48'!T27+'50'!T27+'55'!T27+'61'!T27+'76'!T27+'КЛ 77'!T26+'78'!T27+КТЛ!T26+'83'!T27+'3'!T25+'110'!T26+'116'!T27+'117'!T27+'1'!T25+'2'!T25</f>
        <v>0</v>
      </c>
      <c r="U26" s="24"/>
      <c r="V26" s="24"/>
      <c r="W26" s="24">
        <f>'27'!W27+'37'!W27+'38'!W26+'40'!W27+'42'!W27+'45'!W27+'48'!W27+'50'!W27+'55'!W27+'61'!W27+'76'!W27+'КЛ 77'!W26+'78'!W27+КТЛ!W26+'83'!W27+'3'!W25+'110'!W26+'116'!W27+'117'!W27+'1'!W25+'2'!W25</f>
        <v>0</v>
      </c>
      <c r="X26" s="24"/>
      <c r="Y26" s="24"/>
      <c r="Z26" s="24">
        <f>'27'!Z27+'37'!Z27+'38'!Z26+'40'!Z27+'42'!Z27+'45'!Z27+'48'!Z27+'50'!Z27+'55'!Z27+'61'!Z27+'76'!Z27+'КЛ 77'!Z26+'78'!Z27+КТЛ!Z26+'83'!Z27+'3'!Z25+'110'!Z26+'116'!Z27+'117'!Z27+'1'!Z25+'2'!Z25</f>
        <v>0</v>
      </c>
      <c r="AA26" s="24"/>
      <c r="AB26" s="24"/>
      <c r="AC26" s="24">
        <f>'27'!AC27+'37'!AC27+'38'!AC26+'40'!AC27+'42'!AC27+'45'!AC27+'48'!AC27+'50'!AC27+'55'!AC27+'61'!AC27+'76'!AC27+'КЛ 77'!AC26+'78'!AC27+КТЛ!AC26+'83'!AC27+'3'!AC25+'110'!AC26+'116'!AC27+'117'!AC27+'1'!AC25+'2'!AC25</f>
        <v>0</v>
      </c>
      <c r="AD26" s="24"/>
      <c r="AE26" s="24"/>
      <c r="AF26" s="24">
        <f>'27'!AF27+'37'!AF27+'38'!AF26+'40'!AF27+'42'!AF27+'45'!AF27+'48'!AF27+'50'!AF27+'55'!AF27+'61'!AF27+'76'!AF27+'КЛ 77'!AF26+'78'!AF27+КТЛ!AF26+'83'!AF27+'3'!AF25+'110'!AF26+'116'!AF27+'117'!AF27+'1'!AF25+'2'!AF25</f>
        <v>0</v>
      </c>
      <c r="AG26" s="24"/>
      <c r="AH26" s="24"/>
      <c r="AI26" s="24">
        <f>'27'!AI27+'37'!AI27+'38'!AI26+'40'!AI27+'42'!AI27+'45'!AI27+'48'!AI27+'50'!AI27+'55'!AI27+'61'!AI27+'76'!AI27+'КЛ 77'!AI26+'78'!AI27+КТЛ!AI26+'83'!AI27+'3'!AI25+'110'!AI26+'116'!AI27+'117'!AI27+'1'!AI25+'2'!AI25</f>
        <v>0</v>
      </c>
      <c r="AJ26" s="24"/>
      <c r="AK26" s="24"/>
      <c r="AL26" s="24">
        <f>'27'!AL27+'37'!AL27+'38'!AL26+'40'!AL27+'42'!AL27+'45'!AL27+'48'!AL27+'50'!AL27+'55'!AL27+'61'!AL27+'76'!AL27+'КЛ 77'!AL26+'78'!AL27+КТЛ!AL26+'83'!AL27+'3'!AL25+'110'!AL26+'116'!AL27+'117'!AL27+'1'!AL25+'2'!AL25</f>
        <v>0</v>
      </c>
      <c r="AM26" s="26"/>
      <c r="AN26" s="26">
        <f>'27'!AN26+'37'!AN26+'38'!AN26+'40'!AN26+'42'!AN26+'45'!AN26+'48'!AN26+'50'!AN26+'55'!AN26+'61'!AN26+'76'!AN26+'КЛ 77'!AN26+'78'!AN26+КТЛ!AN26+'83'!AN26+'3'!AN27+'110'!AN26+'116'!AN26+'117'!AN26+'1'!AN27+'2'!AN27</f>
        <v>0</v>
      </c>
      <c r="AO26" s="42">
        <f>'27'!AO26+'37'!AO26+'38'!AO26+'40'!AO26+'42'!AO26+'45'!AO26+'48'!AO26+'50'!AO26+'55'!AO26+'61'!AO26+'76'!AO26+'КЛ 77'!AO26+'78'!AO26+КТЛ!AO26+'83'!AO26+'3'!AO27+'110'!AO26+'116'!AO26+'117'!AO26+'1'!AO27+'2'!AO27</f>
        <v>0</v>
      </c>
      <c r="AP26" s="39"/>
    </row>
    <row r="27" spans="1:44" s="28" customFormat="1" ht="34.5" customHeight="1">
      <c r="A27" s="31"/>
      <c r="B27" s="32"/>
      <c r="C27" s="24">
        <f>'27'!C27+'37'!C27+'38'!C26+'40'!C27+'42'!C27+'45'!C27+'48'!C27+'50'!C27+'55'!C27+'61'!C27+'76'!C27+'КЛ 77'!C27+'78'!C27+КТЛ!C27+'83'!C27+'3'!C25+'110'!C26+'116'!C27+'117'!C27+'1'!C25+'2'!C25</f>
        <v>0</v>
      </c>
      <c r="D27" s="24">
        <f>'27'!D27+'37'!D27+'38'!D26+'40'!D27+'42'!D27+'45'!D27+'48'!D27+'50'!D27+'55'!D27+'61'!D27+'76'!D27+'КЛ 77'!D27+'78'!D27+КТЛ!D27+'83'!D27+'3'!D25+'110'!D26+'116'!D27+'117'!D27+'1'!D25+'2'!D25</f>
        <v>0</v>
      </c>
      <c r="E27" s="24">
        <f t="shared" si="0"/>
        <v>0</v>
      </c>
      <c r="F27" s="24">
        <f>'27'!F27+'37'!F27+'38'!F26+'40'!F27+'42'!F27+'45'!F27+'48'!F27+'50'!F27+'55'!F27+'61'!F27+'76'!F27+'КЛ 77'!F27+'78'!F27+КТЛ!F27+'83'!F27+'3'!F25+'110'!F26+'116'!F27+'117'!F27+'1'!F25+'2'!F25</f>
        <v>0</v>
      </c>
      <c r="G27" s="24">
        <f>'27'!G27+'37'!G27+'38'!G26+'40'!G27+'42'!G27+'45'!G27+'48'!G27+'50'!G27+'55'!G27+'61'!G27+'76'!G27+'КЛ 77'!G27+'78'!G27+КТЛ!G27+'83'!G27+'3'!G25+'110'!G26+'116'!G27+'117'!G27+'1'!G25+'2'!G25</f>
        <v>0</v>
      </c>
      <c r="H27" s="24">
        <f>'27'!H27+'37'!H27+'38'!H26+'40'!H27+'42'!H27+'45'!H27+'48'!H27+'50'!H27+'55'!H27+'61'!H27+'76'!H27+'КЛ 77'!H27+'78'!H27+КТЛ!H27+'83'!H27+'3'!H25+'110'!H26+'116'!H27+'117'!H27+'1'!H25+'2'!H25</f>
        <v>0</v>
      </c>
      <c r="I27" s="24">
        <f>'27'!I27+'37'!I27+'38'!I26+'40'!I27+'42'!I27+'45'!I27+'48'!I27+'50'!I27+'55'!I27+'61'!I27+'76'!I27+'КЛ 77'!I27+'78'!I27+КТЛ!I27+'83'!I27+'3'!I25+'110'!I26+'116'!I27+'117'!I27+'1'!I25+'2'!I25</f>
        <v>0</v>
      </c>
      <c r="J27" s="24">
        <f>'27'!J27+'37'!J27+'38'!J26+'40'!J27+'42'!J27+'45'!J27+'48'!J27+'50'!J27+'55'!J27+'61'!J27+'76'!J27+'КЛ 77'!J27+'78'!J27+КТЛ!J27+'83'!J27+'3'!J25+'110'!J26+'116'!J27+'117'!J27+'1'!J25+'2'!J25</f>
        <v>0</v>
      </c>
      <c r="K27" s="24">
        <f>'27'!K27+'37'!K27+'38'!K26+'40'!K27+'42'!K27+'45'!K27+'48'!K27+'50'!K27+'55'!K27+'61'!K27+'76'!K27+'КЛ 77'!K27+'78'!K27+КТЛ!K27+'83'!K27+'3'!K25+'110'!K26+'116'!K27+'117'!K27+'1'!K25+'2'!K25</f>
        <v>0</v>
      </c>
      <c r="L27" s="24">
        <f>'27'!L27+'37'!L27+'38'!L26+'40'!L27+'42'!L27+'45'!L27+'48'!L27+'50'!L27+'55'!L27+'61'!L27+'76'!L27+'КЛ 77'!L27+'78'!L27+КТЛ!L27+'83'!L27+'3'!L25+'110'!L26+'116'!L27+'117'!L27+'1'!L25+'2'!L25</f>
        <v>0</v>
      </c>
      <c r="M27" s="24">
        <f>'27'!M27+'37'!M27+'38'!M26+'40'!M27+'42'!M27+'45'!M27+'48'!M27+'50'!M27+'55'!M27+'61'!M27+'76'!M27+'КЛ 77'!M27+'78'!M27+КТЛ!M27+'83'!M27+'3'!M25+'110'!M26+'116'!M27+'117'!M27+'1'!M25+'2'!M25</f>
        <v>0</v>
      </c>
      <c r="N27" s="24">
        <f>'27'!N27+'37'!N27+'38'!N26+'40'!N27+'42'!N27+'45'!N27+'48'!N27+'50'!N27+'55'!N27+'61'!N27+'76'!N27+'КЛ 77'!N27+'78'!N27+КТЛ!N27+'83'!N27+'3'!N25+'110'!N26+'116'!N27+'117'!N27+'1'!N25+'2'!N25</f>
        <v>0</v>
      </c>
      <c r="O27" s="24">
        <f>'27'!O27+'37'!O27+'38'!O26+'40'!O27+'42'!O27+'45'!O27+'48'!O27+'50'!O27+'55'!O27+'61'!O27+'76'!O27+'КЛ 77'!O27+'78'!O27+КТЛ!O27+'83'!O27+'3'!O25+'110'!O26+'116'!O27+'117'!O27+'1'!O25+'2'!O25</f>
        <v>0</v>
      </c>
      <c r="P27" s="24">
        <f>'27'!P27+'37'!P27+'38'!P26+'40'!P27+'42'!P27+'45'!P27+'48'!P27+'50'!P27+'55'!P27+'61'!P27+'76'!P27+'КЛ 77'!P27+'78'!P27+КТЛ!P27+'83'!P27+'3'!P25+'110'!P26+'116'!P27+'117'!P27+'1'!P25+'2'!P25</f>
        <v>0</v>
      </c>
      <c r="Q27" s="24">
        <f>'27'!Q27+'37'!Q27+'38'!Q26+'40'!Q27+'42'!Q27+'45'!Q27+'48'!Q27+'50'!Q27+'55'!Q27+'61'!Q27+'76'!Q27+'КЛ 77'!Q27+'78'!Q27+КТЛ!Q27+'83'!Q27+'3'!Q25+'110'!Q26+'116'!Q27+'117'!Q27+'1'!Q25+'2'!Q25</f>
        <v>0</v>
      </c>
      <c r="R27" s="24">
        <f>'27'!R27+'37'!R27+'38'!R26+'40'!R27+'42'!R27+'45'!R27+'48'!R27+'50'!R27+'55'!R27+'61'!R27+'76'!R27+'КЛ 77'!R27+'78'!R27+КТЛ!R27+'83'!R27+'3'!R25+'110'!R26+'116'!R27+'117'!R27+'1'!R25+'2'!R25</f>
        <v>0</v>
      </c>
      <c r="S27" s="24">
        <f>'27'!S27+'37'!S27+'38'!S26+'40'!S27+'42'!S27+'45'!S27+'48'!S27+'50'!S27+'55'!S27+'61'!S27+'76'!S27+'КЛ 77'!S27+'78'!S27+КТЛ!S27+'83'!S27+'3'!S25+'110'!S26+'116'!S27+'117'!S27+'1'!S25+'2'!S25</f>
        <v>0</v>
      </c>
      <c r="T27" s="24">
        <f>'27'!T27+'37'!T27+'38'!T26+'40'!T27+'42'!T27+'45'!T27+'48'!T27+'50'!T27+'55'!T27+'61'!T27+'76'!T27+'КЛ 77'!T27+'78'!T27+КТЛ!T27+'83'!T27+'3'!T25+'110'!T26+'116'!T27+'117'!T27+'1'!T25+'2'!T25</f>
        <v>0</v>
      </c>
      <c r="U27" s="24">
        <f>'27'!U27+'37'!U27+'38'!U26+'40'!U27+'42'!U27+'45'!U27+'48'!U27+'50'!U27+'55'!U27+'61'!U27+'76'!U27+'КЛ 77'!U27+'78'!U27+КТЛ!U27+'83'!U27+'3'!U25+'110'!U26+'116'!U27+'117'!U27+'1'!U25+'2'!U25</f>
        <v>0</v>
      </c>
      <c r="V27" s="24">
        <f>'27'!V27+'37'!V27+'38'!V26+'40'!V27+'42'!V27+'45'!V27+'48'!V27+'50'!V27+'55'!V27+'61'!V27+'76'!V27+'КЛ 77'!V27+'78'!V27+КТЛ!V27+'83'!V27+'3'!V25+'110'!V26+'116'!V27+'117'!V27+'1'!V25+'2'!V25</f>
        <v>0</v>
      </c>
      <c r="W27" s="24">
        <f>'27'!W27+'37'!W27+'38'!W26+'40'!W27+'42'!W27+'45'!W27+'48'!W27+'50'!W27+'55'!W27+'61'!W27+'76'!W27+'КЛ 77'!W27+'78'!W27+КТЛ!W27+'83'!W27+'3'!W25+'110'!W26+'116'!W27+'117'!W27+'1'!W25+'2'!W25</f>
        <v>0</v>
      </c>
      <c r="X27" s="24">
        <f>'27'!X27+'37'!X27+'38'!X26+'40'!X27+'42'!X27+'45'!X27+'48'!X27+'50'!X27+'55'!X27+'61'!X27+'76'!X27+'КЛ 77'!X27+'78'!X27+КТЛ!X27+'83'!X27+'3'!X25+'110'!X26+'116'!X27+'117'!X27+'1'!X25+'2'!X25</f>
        <v>0</v>
      </c>
      <c r="Y27" s="24">
        <f>'27'!Y27+'37'!Y27+'38'!Y26+'40'!Y27+'42'!Y27+'45'!Y27+'48'!Y27+'50'!Y27+'55'!Y27+'61'!Y27+'76'!Y27+'КЛ 77'!Y27+'78'!Y27+КТЛ!Y27+'83'!Y27+'3'!Y25+'110'!Y26+'116'!Y27+'117'!Y27+'1'!Y25+'2'!Y25</f>
        <v>0</v>
      </c>
      <c r="Z27" s="24">
        <f>'27'!Z27+'37'!Z27+'38'!Z26+'40'!Z27+'42'!Z27+'45'!Z27+'48'!Z27+'50'!Z27+'55'!Z27+'61'!Z27+'76'!Z27+'КЛ 77'!Z27+'78'!Z27+КТЛ!Z27+'83'!Z27+'3'!Z25+'110'!Z26+'116'!Z27+'117'!Z27+'1'!Z25+'2'!Z25</f>
        <v>0</v>
      </c>
      <c r="AA27" s="24">
        <f>'27'!AA27+'37'!AA27+'38'!AA26+'40'!AA27+'42'!AA27+'45'!AA27+'48'!AA27+'50'!AA27+'55'!AA27+'61'!AA27+'76'!AA27+'КЛ 77'!AA27+'78'!AA27+КТЛ!AA27+'83'!AA27+'3'!AA25+'110'!AA26+'116'!AA27+'117'!AA27+'1'!AA25+'2'!AA25</f>
        <v>0</v>
      </c>
      <c r="AB27" s="24">
        <f>'27'!AB27+'37'!AB27+'38'!AB26+'40'!AB27+'42'!AB27+'45'!AB27+'48'!AB27+'50'!AB27+'55'!AB27+'61'!AB27+'76'!AB27+'КЛ 77'!AB27+'78'!AB27+КТЛ!AB27+'83'!AB27+'3'!AB25+'110'!AB26+'116'!AB27+'117'!AB27+'1'!AB25+'2'!AB25</f>
        <v>0</v>
      </c>
      <c r="AC27" s="24">
        <f>'27'!AC27+'37'!AC27+'38'!AC26+'40'!AC27+'42'!AC27+'45'!AC27+'48'!AC27+'50'!AC27+'55'!AC27+'61'!AC27+'76'!AC27+'КЛ 77'!AC27+'78'!AC27+КТЛ!AC27+'83'!AC27+'3'!AC25+'110'!AC26+'116'!AC27+'117'!AC27+'1'!AC25+'2'!AC25</f>
        <v>0</v>
      </c>
      <c r="AD27" s="24">
        <f>'27'!AD27+'37'!AD27+'38'!AD26+'40'!AD27+'42'!AD27+'45'!AD27+'48'!AD27+'50'!AD27+'55'!AD27+'61'!AD27+'76'!AD27+'КЛ 77'!AD27+'78'!AD27+КТЛ!AD27+'83'!AD27+'3'!AD25+'110'!AD26+'116'!AD27+'117'!AD27+'1'!AD25+'2'!AD25</f>
        <v>0</v>
      </c>
      <c r="AE27" s="24">
        <f>'27'!AE27+'37'!AE27+'38'!AE26+'40'!AE27+'42'!AE27+'45'!AE27+'48'!AE27+'50'!AE27+'55'!AE27+'61'!AE27+'76'!AE27+'КЛ 77'!AE27+'78'!AE27+КТЛ!AE27+'83'!AE27+'3'!AE25+'110'!AE26+'116'!AE27+'117'!AE27+'1'!AE25+'2'!AE25</f>
        <v>0</v>
      </c>
      <c r="AF27" s="24">
        <f>'27'!AF27+'37'!AF27+'38'!AF26+'40'!AF27+'42'!AF27+'45'!AF27+'48'!AF27+'50'!AF27+'55'!AF27+'61'!AF27+'76'!AF27+'КЛ 77'!AF27+'78'!AF27+КТЛ!AF27+'83'!AF27+'3'!AF25+'110'!AF26+'116'!AF27+'117'!AF27+'1'!AF25+'2'!AF25</f>
        <v>0</v>
      </c>
      <c r="AG27" s="24">
        <f>'27'!AG27+'37'!AG27+'38'!AG26+'40'!AG27+'42'!AG27+'45'!AG27+'48'!AG27+'50'!AG27+'55'!AG27+'61'!AG27+'76'!AG27+'КЛ 77'!AG27+'78'!AG27+КТЛ!AG27+'83'!AG27+'3'!AG25+'110'!AG26+'116'!AG27+'117'!AG27+'1'!AG25+'2'!AG25</f>
        <v>0</v>
      </c>
      <c r="AH27" s="24">
        <f>'27'!AH27+'37'!AH27+'38'!AH26+'40'!AH27+'42'!AH27+'45'!AH27+'48'!AH27+'50'!AH27+'55'!AH27+'61'!AH27+'76'!AH27+'КЛ 77'!AH27+'78'!AH27+КТЛ!AH27+'83'!AH27+'3'!AH25+'110'!AH26+'116'!AH27+'117'!AH27+'1'!AH25+'2'!AH25</f>
        <v>0</v>
      </c>
      <c r="AI27" s="24">
        <f>'27'!AI27+'37'!AI27+'38'!AI26+'40'!AI27+'42'!AI27+'45'!AI27+'48'!AI27+'50'!AI27+'55'!AI27+'61'!AI27+'76'!AI27+'КЛ 77'!AI27+'78'!AI27+КТЛ!AI27+'83'!AI27+'3'!AI25+'110'!AI26+'116'!AI27+'117'!AI27+'1'!AI25+'2'!AI25</f>
        <v>0</v>
      </c>
      <c r="AJ27" s="24">
        <f>'27'!AJ27+'37'!AJ27+'38'!AJ26+'40'!AJ27+'42'!AJ27+'45'!AJ27+'48'!AJ27+'50'!AJ27+'55'!AJ27+'61'!AJ27+'76'!AJ27+'КЛ 77'!AJ27+'78'!AJ27+КТЛ!AJ27+'83'!AJ27+'3'!AJ25+'110'!AJ26+'116'!AJ27+'117'!AJ27+'1'!AJ25+'2'!AJ25</f>
        <v>0</v>
      </c>
      <c r="AK27" s="24">
        <f>'27'!AK27+'37'!AK27+'38'!AK26+'40'!AK27+'42'!AK27+'45'!AK27+'48'!AK27+'50'!AK27+'55'!AK27+'61'!AK27+'76'!AK27+'КЛ 77'!AK27+'78'!AK27+КТЛ!AK27+'83'!AK27+'3'!AK25+'110'!AK26+'116'!AK27+'117'!AK27+'1'!AK25+'2'!AK25</f>
        <v>0</v>
      </c>
      <c r="AL27" s="24">
        <f>'27'!AL27+'37'!AL27+'38'!AL26+'40'!AL27+'42'!AL27+'45'!AL27+'48'!AL27+'50'!AL27+'55'!AL27+'61'!AL27+'76'!AL27+'КЛ 77'!AL27+'78'!AL27+КТЛ!AL27+'83'!AL27+'3'!AL25+'110'!AL26+'116'!AL27+'117'!AL27+'1'!AL25+'2'!AL25</f>
        <v>0</v>
      </c>
      <c r="AM27" s="26">
        <f>'27'!AM27+'37'!AM27+'38'!AM26+'40'!AM27+'42'!AM27+'45'!AM27+'48'!AM27+'50'!AM27+'55'!AM27+'61'!AM27+'76'!AM27+'КЛ 77'!AM27+'78'!AM27+КТЛ!AM27+'83'!AM27+'3'!AM25+'110'!AM26+'116'!AM27+'117'!AM27+'1'!AM25+'2'!AM25</f>
        <v>0</v>
      </c>
      <c r="AN27" s="26">
        <f>'27'!AN27+'37'!AN27+'38'!AN27+'40'!AN27+'42'!AN27+'45'!AN27+'48'!AN27+'50'!AN27+'55'!AN27+'61'!AN27+'76'!AN27+'КЛ 77'!AN27+'78'!AN27+КТЛ!AN27+'83'!AN27+'3'!AN28+'110'!AN27+'116'!AN27+'117'!AN27+'1'!AN28+'2'!AN28</f>
        <v>0</v>
      </c>
      <c r="AO27" s="42">
        <f>'27'!AO27+'37'!AO27+'38'!AO27+'40'!AO27+'42'!AO27+'45'!AO27+'48'!AO27+'50'!AO27+'55'!AO27+'61'!AO27+'76'!AO27+'КЛ 77'!AO27+'78'!AO27+КТЛ!AO27+'83'!AO27+'3'!AO28+'110'!AO27+'116'!AO27+'117'!AO27+'1'!AO28+'2'!AO28</f>
        <v>0</v>
      </c>
      <c r="AP27" s="39"/>
      <c r="AQ27" s="28">
        <v>3110</v>
      </c>
    </row>
    <row r="28" spans="1:44" s="28" customFormat="1" ht="20.100000000000001" customHeight="1">
      <c r="A28" s="23">
        <v>2730</v>
      </c>
      <c r="B28" s="23"/>
      <c r="C28" s="24">
        <f>'27'!C28+'37'!C28+'38'!C27+'40'!C28+'42'!C28+'45'!C28+'48'!C28+'50'!C28+'55'!C28+'61'!C28+'76'!C28+'КЛ 77'!C28+'78'!C28+КТЛ!C28+'83'!C28+'3'!C26+'110'!C27+'116'!C28+'117'!C28+'1'!C26+'2'!C26</f>
        <v>0</v>
      </c>
      <c r="D28" s="24">
        <f>'27'!D28+'37'!D28+'38'!D27+'40'!D28+'42'!D28+'45'!D28+'48'!D28+'50'!D28+'55'!D28+'61'!D28+'76'!D28+'КЛ 77'!D28+'78'!D28+КТЛ!D28+'83'!D28+'3'!D26+'110'!D27+'116'!D28+'117'!D28+'1'!D26+'2'!D26</f>
        <v>0</v>
      </c>
      <c r="E28" s="24">
        <f t="shared" si="0"/>
        <v>0</v>
      </c>
      <c r="F28" s="24">
        <f>'27'!F28+'37'!F28+'38'!F27+'40'!F28+'42'!F28+'45'!F28+'48'!F28+'50'!F28+'55'!F28+'61'!F28+'76'!F28+'КЛ 77'!F28+'78'!F28+КТЛ!F28+'83'!F28+'3'!F26+'110'!F27+'116'!F28+'117'!F28+'1'!F26+'2'!F26</f>
        <v>0</v>
      </c>
      <c r="G28" s="24">
        <f>'27'!G28+'37'!G28+'38'!G27+'40'!G28+'42'!G28+'45'!G28+'48'!G28+'50'!G28+'55'!G28+'61'!G28+'76'!G28+'КЛ 77'!G28+'78'!G28+КТЛ!G28+'83'!G28+'3'!G26+'110'!G27+'116'!G28+'117'!G28+'1'!G26+'2'!G26</f>
        <v>0</v>
      </c>
      <c r="H28" s="24">
        <f>'27'!H28+'37'!H28+'38'!H27+'40'!H28+'42'!H28+'45'!H28+'48'!H28+'50'!H28+'55'!H28+'61'!H28+'76'!H28+'КЛ 77'!H28+'78'!H28+КТЛ!H28+'83'!H28+'3'!H26+'110'!H27+'116'!H28+'117'!H28+'1'!H26+'2'!H26</f>
        <v>0</v>
      </c>
      <c r="I28" s="24">
        <f>'27'!I28+'37'!I28+'38'!I27+'40'!I28+'42'!I28+'45'!I28+'48'!I28+'50'!I28+'55'!I28+'61'!I28+'76'!I28+'КЛ 77'!I28+'78'!I28+КТЛ!I28+'83'!I28+'3'!I26+'110'!I27+'116'!I28+'117'!I28+'1'!I26+'2'!I26</f>
        <v>0</v>
      </c>
      <c r="J28" s="24">
        <f>'27'!J28+'37'!J28+'38'!J27+'40'!J28+'42'!J28+'45'!J28+'48'!J28+'50'!J28+'55'!J28+'61'!J28+'76'!J28+'КЛ 77'!J28+'78'!J28+КТЛ!J28+'83'!J28+'3'!J26+'110'!J27+'116'!J28+'117'!J28+'1'!J26+'2'!J26</f>
        <v>0</v>
      </c>
      <c r="K28" s="24">
        <f>'27'!K28+'37'!K28+'38'!K27+'40'!K28+'42'!K28+'45'!K28+'48'!K28+'50'!K28+'55'!K28+'61'!K28+'76'!K28+'КЛ 77'!K28+'78'!K28+КТЛ!K28+'83'!K28+'3'!K26+'110'!K27+'116'!K28+'117'!K28+'1'!K26+'2'!K26</f>
        <v>0</v>
      </c>
      <c r="L28" s="24">
        <f>'27'!L28+'37'!L28+'38'!L27+'40'!L28+'42'!L28+'45'!L28+'48'!L28+'50'!L28+'55'!L28+'61'!L28+'76'!L28+'КЛ 77'!L28+'78'!L28+КТЛ!L28+'83'!L28+'3'!L26+'110'!L27+'116'!L28+'117'!L28+'1'!L26+'2'!L26</f>
        <v>0</v>
      </c>
      <c r="M28" s="24">
        <f>'27'!M28+'37'!M28+'38'!M27+'40'!M28+'42'!M28+'45'!M28+'48'!M28+'50'!M28+'55'!M28+'61'!M28+'76'!M28+'КЛ 77'!M28+'78'!M28+КТЛ!M28+'83'!M28+'3'!M26+'110'!M27+'116'!M28+'117'!M28+'1'!M26+'2'!M26</f>
        <v>0</v>
      </c>
      <c r="N28" s="24">
        <f>'27'!N28+'37'!N28+'38'!N27+'40'!N28+'42'!N28+'45'!N28+'48'!N28+'50'!N28+'55'!N28+'61'!N28+'76'!N28+'КЛ 77'!N28+'78'!N28+КТЛ!N28+'83'!N28+'3'!N26+'110'!N27+'116'!N28+'117'!N28+'1'!N26+'2'!N26</f>
        <v>0</v>
      </c>
      <c r="O28" s="24">
        <f>'27'!O28+'37'!O28+'38'!O27+'40'!O28+'42'!O28+'45'!O28+'48'!O28+'50'!O28+'55'!O28+'61'!O28+'76'!O28+'КЛ 77'!O28+'78'!O28+КТЛ!O28+'83'!O28+'3'!O26+'110'!O27+'116'!O28+'117'!O28+'1'!O26+'2'!O26</f>
        <v>0</v>
      </c>
      <c r="P28" s="24">
        <f>'27'!P28+'37'!P28+'38'!P27+'40'!P28+'42'!P28+'45'!P28+'48'!P28+'50'!P28+'55'!P28+'61'!P28+'76'!P28+'КЛ 77'!P28+'78'!P28+КТЛ!P28+'83'!P28+'3'!P26+'110'!P27+'116'!P28+'117'!P28+'1'!P26+'2'!P26</f>
        <v>0</v>
      </c>
      <c r="Q28" s="24">
        <f>'27'!Q28+'37'!Q28+'38'!Q27+'40'!Q28+'42'!Q28+'45'!Q28+'48'!Q28+'50'!Q28+'55'!Q28+'61'!Q28+'76'!Q28+'КЛ 77'!Q28+'78'!Q28+КТЛ!Q28+'83'!Q28+'3'!Q26+'110'!Q27+'116'!Q28+'117'!Q28+'1'!Q26+'2'!Q26</f>
        <v>0</v>
      </c>
      <c r="R28" s="24">
        <f>'27'!R28+'37'!R28+'38'!R27+'40'!R28+'42'!R28+'45'!R28+'48'!R28+'50'!R28+'55'!R28+'61'!R28+'76'!R28+'КЛ 77'!R28+'78'!R28+КТЛ!R28+'83'!R28+'3'!R26+'110'!R27+'116'!R28+'117'!R28+'1'!R26+'2'!R26</f>
        <v>0</v>
      </c>
      <c r="S28" s="24">
        <f>'27'!S28+'37'!S28+'38'!S27+'40'!S28+'42'!S28+'45'!S28+'48'!S28+'50'!S28+'55'!S28+'61'!S28+'76'!S28+'КЛ 77'!S28+'78'!S28+КТЛ!S28+'83'!S28+'3'!S26+'110'!S27+'116'!S28+'117'!S28+'1'!S26+'2'!S26</f>
        <v>0</v>
      </c>
      <c r="T28" s="24">
        <f>'27'!T28+'37'!T28+'38'!T27+'40'!T28+'42'!T28+'45'!T28+'48'!T28+'50'!T28+'55'!T28+'61'!T28+'76'!T28+'КЛ 77'!T28+'78'!T28+КТЛ!T28+'83'!T28+'3'!T26+'110'!T27+'116'!T28+'117'!T28+'1'!T26+'2'!T26</f>
        <v>0</v>
      </c>
      <c r="U28" s="24">
        <f>'27'!U28+'37'!U28+'38'!U27+'40'!U28+'42'!U28+'45'!U28+'48'!U28+'50'!U28+'55'!U28+'61'!U28+'76'!U28+'КЛ 77'!U28+'78'!U28+КТЛ!U28+'83'!U28+'3'!U26+'110'!U27+'116'!U28+'117'!U28+'1'!U26+'2'!U26</f>
        <v>0</v>
      </c>
      <c r="V28" s="24">
        <f>'27'!V28+'37'!V28+'38'!V27+'40'!V28+'42'!V28+'45'!V28+'48'!V28+'50'!V28+'55'!V28+'61'!V28+'76'!V28+'КЛ 77'!V28+'78'!V28+КТЛ!V28+'83'!V28+'3'!V26+'110'!V27+'116'!V28+'117'!V28+'1'!V26+'2'!V26</f>
        <v>0</v>
      </c>
      <c r="W28" s="24">
        <f>'27'!W28+'37'!W28+'38'!W27+'40'!W28+'42'!W28+'45'!W28+'48'!W28+'50'!W28+'55'!W28+'61'!W28+'76'!W28+'КЛ 77'!W28+'78'!W28+КТЛ!W28+'83'!W28+'3'!W26+'110'!W27+'116'!W28+'117'!W28+'1'!W26+'2'!W26</f>
        <v>0</v>
      </c>
      <c r="X28" s="24">
        <f>'27'!X28+'37'!X28+'38'!X27+'40'!X28+'42'!X28+'45'!X28+'48'!X28+'50'!X28+'55'!X28+'61'!X28+'76'!X28+'КЛ 77'!X28+'78'!X28+КТЛ!X28+'83'!X28+'3'!X26+'110'!X27+'116'!X28+'117'!X28+'1'!X26+'2'!X26</f>
        <v>0</v>
      </c>
      <c r="Y28" s="24">
        <f>'27'!Y28+'37'!Y28+'38'!Y27+'40'!Y28+'42'!Y28+'45'!Y28+'48'!Y28+'50'!Y28+'55'!Y28+'61'!Y28+'76'!Y28+'КЛ 77'!Y28+'78'!Y28+КТЛ!Y28+'83'!Y28+'3'!Y26+'110'!Y27+'116'!Y28+'117'!Y28+'1'!Y26+'2'!Y26</f>
        <v>0</v>
      </c>
      <c r="Z28" s="24">
        <f>'27'!Z28+'37'!Z28+'38'!Z27+'40'!Z28+'42'!Z28+'45'!Z28+'48'!Z28+'50'!Z28+'55'!Z28+'61'!Z28+'76'!Z28+'КЛ 77'!Z28+'78'!Z28+КТЛ!Z28+'83'!Z28+'3'!Z26+'110'!Z27+'116'!Z28+'117'!Z28+'1'!Z26+'2'!Z26</f>
        <v>0</v>
      </c>
      <c r="AA28" s="24">
        <f>'27'!AA28+'37'!AA28+'38'!AA27+'40'!AA28+'42'!AA28+'45'!AA28+'48'!AA28+'50'!AA28+'55'!AA28+'61'!AA28+'76'!AA28+'КЛ 77'!AA28+'78'!AA28+КТЛ!AA28+'83'!AA28+'3'!AA26+'110'!AA27+'116'!AA28+'117'!AA28+'1'!AA26+'2'!AA26</f>
        <v>0</v>
      </c>
      <c r="AB28" s="24">
        <f>'27'!AB28+'37'!AB28+'38'!AB27+'40'!AB28+'42'!AB28+'45'!AB28+'48'!AB28+'50'!AB28+'55'!AB28+'61'!AB28+'76'!AB28+'КЛ 77'!AB28+'78'!AB28+КТЛ!AB28+'83'!AB28+'3'!AB26+'110'!AB27+'116'!AB28+'117'!AB28+'1'!AB26+'2'!AB26</f>
        <v>0</v>
      </c>
      <c r="AC28" s="24">
        <f>'27'!AC28+'37'!AC28+'38'!AC27+'40'!AC28+'42'!AC28+'45'!AC28+'48'!AC28+'50'!AC28+'55'!AC28+'61'!AC28+'76'!AC28+'КЛ 77'!AC28+'78'!AC28+КТЛ!AC28+'83'!AC28+'3'!AC26+'110'!AC27+'116'!AC28+'117'!AC28+'1'!AC26+'2'!AC26</f>
        <v>0</v>
      </c>
      <c r="AD28" s="24">
        <f>'27'!AD28+'37'!AD28+'38'!AD27+'40'!AD28+'42'!AD28+'45'!AD28+'48'!AD28+'50'!AD28+'55'!AD28+'61'!AD28+'76'!AD28+'КЛ 77'!AD28+'78'!AD28+КТЛ!AD28+'83'!AD28+'3'!AD26+'110'!AD27+'116'!AD28+'117'!AD28+'1'!AD26+'2'!AD26</f>
        <v>0</v>
      </c>
      <c r="AE28" s="24">
        <f>'27'!AE28+'37'!AE28+'38'!AE27+'40'!AE28+'42'!AE28+'45'!AE28+'48'!AE28+'50'!AE28+'55'!AE28+'61'!AE28+'76'!AE28+'КЛ 77'!AE28+'78'!AE28+КТЛ!AE28+'83'!AE28+'3'!AE26+'110'!AE27+'116'!AE28+'117'!AE28+'1'!AE26+'2'!AE26</f>
        <v>0</v>
      </c>
      <c r="AF28" s="24">
        <f>'27'!AF28+'37'!AF28+'38'!AF27+'40'!AF28+'42'!AF28+'45'!AF28+'48'!AF28+'50'!AF28+'55'!AF28+'61'!AF28+'76'!AF28+'КЛ 77'!AF28+'78'!AF28+КТЛ!AF28+'83'!AF28+'3'!AF26+'110'!AF27+'116'!AF28+'117'!AF28+'1'!AF26+'2'!AF26</f>
        <v>0</v>
      </c>
      <c r="AG28" s="24">
        <f>'27'!AG28+'37'!AG28+'38'!AG27+'40'!AG28+'42'!AG28+'45'!AG28+'48'!AG28+'50'!AG28+'55'!AG28+'61'!AG28+'76'!AG28+'КЛ 77'!AG28+'78'!AG28+КТЛ!AG28+'83'!AG28+'3'!AG26+'110'!AG27+'116'!AG28+'117'!AG28+'1'!AG26+'2'!AG26</f>
        <v>0</v>
      </c>
      <c r="AH28" s="24">
        <f>'27'!AH28+'37'!AH28+'38'!AH27+'40'!AH28+'42'!AH28+'45'!AH28+'48'!AH28+'50'!AH28+'55'!AH28+'61'!AH28+'76'!AH28+'КЛ 77'!AH28+'78'!AH28+КТЛ!AH28+'83'!AH28+'3'!AH26+'110'!AH27+'116'!AH28+'117'!AH28+'1'!AH26+'2'!AH26</f>
        <v>0</v>
      </c>
      <c r="AI28" s="24">
        <f>'27'!AI28+'37'!AI28+'38'!AI27+'40'!AI28+'42'!AI28+'45'!AI28+'48'!AI28+'50'!AI28+'55'!AI28+'61'!AI28+'76'!AI28+'КЛ 77'!AI28+'78'!AI28+КТЛ!AI28+'83'!AI28+'3'!AI26+'110'!AI27+'116'!AI28+'117'!AI28+'1'!AI26+'2'!AI26</f>
        <v>0</v>
      </c>
      <c r="AJ28" s="24">
        <f>'27'!AJ28+'37'!AJ28+'38'!AJ27+'40'!AJ28+'42'!AJ28+'45'!AJ28+'48'!AJ28+'50'!AJ28+'55'!AJ28+'61'!AJ28+'76'!AJ28+'КЛ 77'!AJ28+'78'!AJ28+КТЛ!AJ28+'83'!AJ28+'3'!AJ26+'110'!AJ27+'116'!AJ28+'117'!AJ28+'1'!AJ26+'2'!AJ26</f>
        <v>0</v>
      </c>
      <c r="AK28" s="24">
        <f>'27'!AK28+'37'!AK28+'38'!AK27+'40'!AK28+'42'!AK28+'45'!AK28+'48'!AK28+'50'!AK28+'55'!AK28+'61'!AK28+'76'!AK28+'КЛ 77'!AK28+'78'!AK28+КТЛ!AK28+'83'!AK28+'3'!AK26+'110'!AK27+'116'!AK28+'117'!AK28+'1'!AK26+'2'!AK26</f>
        <v>0</v>
      </c>
      <c r="AL28" s="24">
        <f>'27'!AL28+'37'!AL28+'38'!AL27+'40'!AL28+'42'!AL28+'45'!AL28+'48'!AL28+'50'!AL28+'55'!AL28+'61'!AL28+'76'!AL28+'КЛ 77'!AL28+'78'!AL28+КТЛ!AL28+'83'!AL28+'3'!AL26+'110'!AL27+'116'!AL28+'117'!AL28+'1'!AL26+'2'!AL26</f>
        <v>0</v>
      </c>
      <c r="AM28" s="26">
        <f>'27'!AM28+'37'!AM28+'38'!AM27+'40'!AM28+'42'!AM28+'45'!AM28+'48'!AM28+'50'!AM28+'55'!AM28+'61'!AM28+'76'!AM28+'КЛ 77'!AM28+'78'!AM28+КТЛ!AM28+'83'!AM28+'3'!AM26+'110'!AM27+'116'!AM28+'117'!AM28+'1'!AM26+'2'!AM26</f>
        <v>0</v>
      </c>
      <c r="AN28" s="26">
        <f>'27'!AN28+'37'!AN28+'38'!AN28+'40'!AN28+'42'!AN28+'45'!AN28+'48'!AN28+'50'!AN28+'55'!AN28+'61'!AN28+'76'!AN28+'КЛ 77'!AN28+'78'!AN28+КТЛ!AN28+'83'!AN28+'3'!AN29+'110'!AN28+'116'!AN28+'117'!AN28+'1'!AN29+'2'!AN29</f>
        <v>0</v>
      </c>
      <c r="AO28" s="42">
        <f>'27'!AO28+'37'!AO28+'38'!AO28+'40'!AO28+'42'!AO28+'45'!AO28+'48'!AO28+'50'!AO28+'55'!AO28+'61'!AO28+'76'!AO28+'КЛ 77'!AO28+'78'!AO28+КТЛ!AO28+'83'!AO28+'3'!AO29+'110'!AO28+'116'!AO28+'117'!AO28+'1'!AO29+'2'!AO29</f>
        <v>0</v>
      </c>
      <c r="AP28" s="39"/>
      <c r="AQ28" s="28">
        <v>3132</v>
      </c>
    </row>
    <row r="29" spans="1:44" s="28" customFormat="1" ht="20.100000000000001" customHeight="1">
      <c r="A29" s="3">
        <v>7520</v>
      </c>
      <c r="B29" s="3" t="s">
        <v>65</v>
      </c>
      <c r="C29" s="24">
        <f>'27'!C29+'37'!C29+'38'!C28+'40'!C29+'42'!C29+'45'!C29+'48'!C29+'50'!C29+'55'!C29+'61'!C29+'76'!C29+'КЛ 77'!C29+'78'!C29+КТЛ!C29+'83'!C29+'3'!C27+'110'!C28+'116'!C29+'117'!C29+'1'!C27+'2'!C27</f>
        <v>0</v>
      </c>
      <c r="D29" s="24">
        <f>'27'!D29+'37'!D29+'38'!D28+'40'!D29+'42'!D29+'45'!D29+'48'!D29+'50'!D29+'55'!D29+'61'!D29+'76'!D29+'КЛ 77'!D29+'78'!D29+КТЛ!D29+'83'!D29+'3'!D27+'110'!D28+'116'!D29+'117'!D29+'1'!D27+'2'!D27</f>
        <v>0</v>
      </c>
      <c r="E29" s="24">
        <f t="shared" si="0"/>
        <v>0</v>
      </c>
      <c r="F29" s="24">
        <f>'27'!F29+'37'!F29+'38'!F28+'40'!F29+'42'!F29+'45'!F29+'48'!F29+'50'!F29+'55'!F29+'61'!F29+'76'!F29+'КЛ 77'!F29+'78'!F29+КТЛ!F29+'83'!F29+'3'!F27+'110'!F28+'116'!F29+'117'!F29+'1'!F27+'2'!F27</f>
        <v>0</v>
      </c>
      <c r="G29" s="24">
        <f>'27'!G29+'37'!G29+'38'!G28+'40'!G29+'42'!G29+'45'!G29+'48'!G29+'50'!G29+'55'!G29+'61'!G29+'76'!G29+'КЛ 77'!G29+'78'!G29+КТЛ!G29+'83'!G29+'3'!G27+'110'!G28+'116'!G29+'117'!G29+'1'!G27+'2'!G27</f>
        <v>25580</v>
      </c>
      <c r="H29" s="24">
        <f>'27'!H29+'37'!H29+'38'!H28+'40'!H29+'42'!H29+'45'!H29+'48'!H29+'50'!H29+'55'!H29+'61'!H29+'76'!H29+'КЛ 77'!H29+'78'!H29+КТЛ!H29+'83'!H29+'3'!H27+'110'!H28+'116'!H29+'117'!H29+'1'!H27+'2'!H27</f>
        <v>25580</v>
      </c>
      <c r="I29" s="24">
        <f>'27'!I29+'37'!I29+'38'!I28+'40'!I29+'42'!I29+'45'!I29+'48'!I29+'50'!I29+'55'!I29+'61'!I29+'76'!I29+'КЛ 77'!I29+'78'!I29+КТЛ!I29+'83'!I29+'3'!I27+'110'!I28+'116'!I29+'117'!I29+'1'!I27+'2'!I27</f>
        <v>0</v>
      </c>
      <c r="J29" s="24">
        <f>'27'!J29+'37'!J29+'38'!J28+'40'!J29+'42'!J29+'45'!J29+'48'!J29+'50'!J29+'55'!J29+'61'!J29+'76'!J29+'КЛ 77'!J29+'78'!J29+КТЛ!J29+'83'!J29+'3'!J27+'110'!J28+'116'!J29+'117'!J29+'1'!J27+'2'!J27</f>
        <v>25580</v>
      </c>
      <c r="K29" s="24">
        <f>'27'!K29+'37'!K29+'38'!K28+'40'!K29+'42'!K29+'45'!K29+'48'!K29+'50'!K29+'55'!K29+'61'!K29+'76'!K29+'КЛ 77'!K29+'78'!K29+КТЛ!K29+'83'!K29+'3'!K27+'110'!K28+'116'!K29+'117'!K29+'1'!K27+'2'!K27</f>
        <v>25580</v>
      </c>
      <c r="L29" s="24">
        <f>'27'!L29+'37'!L29+'38'!L28+'40'!L29+'42'!L29+'45'!L29+'48'!L29+'50'!L29+'55'!L29+'61'!L29+'76'!L29+'КЛ 77'!L29+'78'!L29+КТЛ!L29+'83'!L29+'3'!L27+'110'!L28+'116'!L29+'117'!L29+'1'!L27+'2'!L27</f>
        <v>0</v>
      </c>
      <c r="M29" s="24">
        <f>'27'!M29+'37'!M29+'38'!M28+'40'!M29+'42'!M29+'45'!M29+'48'!M29+'50'!M29+'55'!M29+'61'!M29+'76'!M29+'КЛ 77'!M29+'78'!M29+КТЛ!M29+'83'!M29+'3'!M27+'110'!M28+'116'!M29+'117'!M29+'1'!M27+'2'!M27</f>
        <v>40530</v>
      </c>
      <c r="N29" s="24">
        <f>'27'!N29+'37'!N29+'38'!N28+'40'!N29+'42'!N29+'45'!N29+'48'!N29+'50'!N29+'55'!N29+'61'!N29+'76'!N29+'КЛ 77'!N29+'78'!N29+КТЛ!N29+'83'!N29+'3'!N27+'110'!N28+'116'!N29+'117'!N29+'1'!N27+'2'!N27</f>
        <v>40530</v>
      </c>
      <c r="O29" s="24">
        <f>'27'!O29+'37'!O29+'38'!O28+'40'!O29+'42'!O29+'45'!O29+'48'!O29+'50'!O29+'55'!O29+'61'!O29+'76'!O29+'КЛ 77'!O29+'78'!O29+КТЛ!O29+'83'!O29+'3'!O27+'110'!O28+'116'!O29+'117'!O29+'1'!O27+'2'!O27</f>
        <v>0</v>
      </c>
      <c r="P29" s="24">
        <f>'27'!P29+'37'!P29+'38'!P28+'40'!P29+'42'!P29+'45'!P29+'48'!P29+'50'!P29+'55'!P29+'61'!P29+'76'!P29+'КЛ 77'!P29+'78'!P29+КТЛ!P29+'83'!P29+'3'!P27+'110'!P28+'116'!P29+'117'!P29+'1'!P27+'2'!P27</f>
        <v>25580</v>
      </c>
      <c r="Q29" s="24" t="s">
        <v>61</v>
      </c>
      <c r="R29" s="24">
        <f>'27'!R29+'37'!R29+'38'!R28+'40'!R29+'42'!R29+'45'!R29+'48'!R29+'50'!R29+'55'!R29+'61'!R29+'76'!R29+'КЛ 77'!R29+'78'!R29+КТЛ!R29+'83'!R29+'3'!R27+'110'!R28+'116'!R29+'117'!R29+'1'!R27+'2'!R27</f>
        <v>0</v>
      </c>
      <c r="S29" s="24">
        <f>'27'!S29+'37'!S29+'38'!S28+'40'!S29+'42'!S29+'45'!S29+'48'!S29+'50'!S29+'55'!S29+'61'!S29+'76'!S29+'КЛ 77'!S29+'78'!S29+КТЛ!S29+'83'!S29+'3'!S27+'110'!S28+'116'!S29+'117'!S29+'1'!S27+'2'!S27</f>
        <v>25580</v>
      </c>
      <c r="T29" s="24">
        <f>'27'!T29+'37'!T29+'38'!T28+'40'!T29+'42'!T29+'45'!T29+'48'!T29+'50'!T29+'55'!T29+'61'!T29+'76'!T29+'КЛ 77'!T29+'78'!T29+КТЛ!T29+'83'!T29+'3'!T27+'110'!T28+'116'!T29+'117'!T29+'1'!T27+'2'!T27</f>
        <v>25580</v>
      </c>
      <c r="U29" s="24">
        <f>'27'!U29+'37'!U29+'38'!U28+'40'!U29+'42'!U29+'45'!U29+'48'!U29+'50'!U29+'55'!U29+'61'!U29+'76'!U29+'КЛ 77'!U29+'78'!U29+КТЛ!U29+'83'!U29+'3'!U27+'110'!U28+'116'!U29+'117'!U29+'1'!U27+'2'!U27</f>
        <v>0</v>
      </c>
      <c r="V29" s="24">
        <f>'27'!V29+'37'!V29+'38'!V28+'40'!V29+'42'!V29+'45'!V29+'48'!V29+'50'!V29+'55'!V29+'61'!V29+'76'!V29+'КЛ 77'!V29+'78'!V29+КТЛ!V29+'83'!V29+'3'!V27+'110'!V28+'116'!V29+'117'!V29+'1'!V27+'2'!V27</f>
        <v>40530</v>
      </c>
      <c r="W29" s="24">
        <f>'27'!W29+'37'!W29+'38'!W28+'40'!W29+'42'!W29+'45'!W29+'48'!W29+'50'!W29+'55'!W29+'61'!W29+'76'!W29+'КЛ 77'!W29+'78'!W29+КТЛ!W29+'83'!W29+'3'!W27+'110'!W28+'116'!W29+'117'!W29+'1'!W27+'2'!W27</f>
        <v>40530</v>
      </c>
      <c r="X29" s="24">
        <f>'27'!X29+'37'!X29+'38'!X28+'40'!X29+'42'!X29+'45'!X29+'48'!X29+'50'!X29+'55'!X29+'61'!X29+'76'!X29+'КЛ 77'!X29+'78'!X29+КТЛ!X29+'83'!X29+'3'!X27+'110'!X28+'116'!X29+'117'!X29+'1'!X27+'2'!X27</f>
        <v>0</v>
      </c>
      <c r="Y29" s="24">
        <f>'27'!Y29+'37'!Y29+'38'!Y28+'40'!Y29+'42'!Y29+'45'!Y29+'48'!Y29+'50'!Y29+'55'!Y29+'61'!Y29+'76'!Y29+'КЛ 77'!Y29+'78'!Y29+КТЛ!Y29+'83'!Y29+'3'!Y27+'110'!Y28+'116'!Y29+'117'!Y29+'1'!Y27+'2'!Y27</f>
        <v>25580</v>
      </c>
      <c r="Z29" s="24">
        <f>'27'!Z29+'37'!Z29+'38'!Z28+'40'!Z29+'42'!Z29+'45'!Z29+'48'!Z29+'50'!Z29+'55'!Z29+'61'!Z29+'76'!Z29+'КЛ 77'!Z29+'78'!Z29+КТЛ!Z29+'83'!Z29+'3'!Z27+'110'!Z28+'116'!Z29+'117'!Z29+'1'!Z27+'2'!Z27</f>
        <v>25580</v>
      </c>
      <c r="AA29" s="24">
        <f>'27'!AA29+'37'!AA29+'38'!AA28+'40'!AA29+'42'!AA29+'45'!AA29+'48'!AA29+'50'!AA29+'55'!AA29+'61'!AA29+'76'!AA29+'КЛ 77'!AA29+'78'!AA29+КТЛ!AA29+'83'!AA29+'3'!AA27+'110'!AA28+'116'!AA29+'117'!AA29+'1'!AA27+'2'!AA27</f>
        <v>0</v>
      </c>
      <c r="AB29" s="24">
        <f>'27'!AB29+'37'!AB29+'38'!AB28+'40'!AB29+'42'!AB29+'45'!AB29+'48'!AB29+'50'!AB29+'55'!AB29+'61'!AB29+'76'!AB29+'КЛ 77'!AB29+'78'!AB29+КТЛ!AB29+'83'!AB29+'3'!AB27+'110'!AB28+'116'!AB29+'117'!AB29+'1'!AB27+'2'!AB27</f>
        <v>25580</v>
      </c>
      <c r="AC29" s="24">
        <f>'27'!AC29+'37'!AC29+'38'!AC28+'40'!AC29+'42'!AC29+'45'!AC29+'48'!AC29+'50'!AC29+'55'!AC29+'61'!AC29+'76'!AC29+'КЛ 77'!AC29+'78'!AC29+КТЛ!AC29+'83'!AC29+'3'!AC27+'110'!AC28+'116'!AC29+'117'!AC29+'1'!AC27+'2'!AC27</f>
        <v>25580</v>
      </c>
      <c r="AD29" s="24">
        <f>'27'!AD29+'37'!AD29+'38'!AD28+'40'!AD29+'42'!AD29+'45'!AD29+'48'!AD29+'50'!AD29+'55'!AD29+'61'!AD29+'76'!AD29+'КЛ 77'!AD29+'78'!AD29+КТЛ!AD29+'83'!AD29+'3'!AD27+'110'!AD28+'116'!AD29+'117'!AD29+'1'!AD27+'2'!AD27</f>
        <v>0</v>
      </c>
      <c r="AE29" s="24">
        <f>'27'!AE29+'37'!AE29+'38'!AE28+'40'!AE29+'42'!AE29+'45'!AE29+'48'!AE29+'50'!AE29+'55'!AE29+'61'!AE29+'76'!AE29+'КЛ 77'!AE29+'78'!AE29+КТЛ!AE29+'83'!AE29+'3'!AE27+'110'!AE28+'116'!AE29+'117'!AE29+'1'!AE27+'2'!AE27</f>
        <v>0</v>
      </c>
      <c r="AF29" s="24">
        <f>'27'!AF29+'37'!AF29+'38'!AF28+'40'!AF29+'42'!AF29+'45'!AF29+'48'!AF29+'50'!AF29+'55'!AF29+'61'!AF29+'76'!AF29+'КЛ 77'!AF29+'78'!AF29+КТЛ!AF29+'83'!AF29+'3'!AF27+'110'!AF28+'116'!AF29+'117'!AF29+'1'!AF27+'2'!AF27</f>
        <v>0</v>
      </c>
      <c r="AG29" s="24">
        <f>'27'!AG29+'37'!AG29+'38'!AG28+'40'!AG29+'42'!AG29+'45'!AG29+'48'!AG29+'50'!AG29+'55'!AG29+'61'!AG29+'76'!AG29+'КЛ 77'!AG29+'78'!AG29+КТЛ!AG29+'83'!AG29+'3'!AG27+'110'!AG28+'116'!AG29+'117'!AG29+'1'!AG27+'2'!AG27</f>
        <v>0</v>
      </c>
      <c r="AH29" s="24">
        <f>'27'!AH29+'37'!AH29+'38'!AH28+'40'!AH29+'42'!AH29+'45'!AH29+'48'!AH29+'50'!AH29+'55'!AH29+'61'!AH29+'76'!AH29+'КЛ 77'!AH29+'78'!AH29+КТЛ!AH29+'83'!AH29+'3'!AH27+'110'!AH28+'116'!AH29+'117'!AH29+'1'!AH27+'2'!AH27</f>
        <v>0</v>
      </c>
      <c r="AI29" s="24">
        <f>'27'!AI29+'37'!AI29+'38'!AI28+'40'!AI29+'42'!AI29+'45'!AI29+'48'!AI29+'50'!AI29+'55'!AI29+'61'!AI29+'76'!AI29+'КЛ 77'!AI29+'78'!AI29+КТЛ!AI29+'83'!AI29+'3'!AI27+'110'!AI28+'116'!AI29+'117'!AI29+'1'!AI27+'2'!AI27</f>
        <v>0</v>
      </c>
      <c r="AJ29" s="24">
        <f>'27'!AJ29+'37'!AJ29+'38'!AJ28+'40'!AJ29+'42'!AJ29+'45'!AJ29+'48'!AJ29+'50'!AJ29+'55'!AJ29+'61'!AJ29+'76'!AJ29+'КЛ 77'!AJ29+'78'!AJ29+КТЛ!AJ29+'83'!AJ29+'3'!AJ27+'110'!AJ28+'116'!AJ29+'117'!AJ29+'1'!AJ27+'2'!AJ27</f>
        <v>0</v>
      </c>
      <c r="AK29" s="24">
        <f>'27'!AK29+'37'!AK29+'38'!AK28+'40'!AK29+'42'!AK29+'45'!AK29+'48'!AK29+'50'!AK29+'55'!AK29+'61'!AK29+'76'!AK29+'КЛ 77'!AK29+'78'!AK29+КТЛ!AK29+'83'!AK29+'3'!AK27+'110'!AK28+'116'!AK29+'117'!AK29+'1'!AK27+'2'!AK27</f>
        <v>0</v>
      </c>
      <c r="AL29" s="24">
        <f>'27'!AL29+'37'!AL29+'38'!AL28+'40'!AL29+'42'!AL29+'45'!AL29+'48'!AL29+'50'!AL29+'55'!AL29+'61'!AL29+'76'!AL29+'КЛ 77'!AL29+'78'!AL29+КТЛ!AL29+'83'!AL29+'3'!AL27+'110'!AL28+'116'!AL29+'117'!AL29+'1'!AL27+'2'!AL27</f>
        <v>0</v>
      </c>
      <c r="AM29" s="26">
        <f>'27'!AM29+'37'!AM29+'38'!AM28+'40'!AM29+'42'!AM29+'45'!AM29+'48'!AM29+'50'!AM29+'55'!AM29+'61'!AM29+'76'!AM29+'КЛ 77'!AM29+'78'!AM29+КТЛ!AM29+'83'!AM29+'3'!AM27+'110'!AM28+'116'!AM29+'117'!AM29+'1'!AM27+'2'!AM27</f>
        <v>0</v>
      </c>
      <c r="AN29" s="26">
        <f>'27'!AN29+'37'!AN29+'38'!AN29+'40'!AN29+'42'!AN29+'45'!AN29+'48'!AN29+'50'!AN29+'55'!AN29+'61'!AN29+'76'!AN29+'КЛ 77'!AN29+'78'!AN29+КТЛ!AN29+'83'!AN29+'3'!AN30+'110'!AN29+'116'!AN29+'117'!AN29+'1'!AN30+'2'!AN30</f>
        <v>262496</v>
      </c>
      <c r="AO29" s="42">
        <f>'27'!AO29+'37'!AO29+'38'!AO29+'40'!AO29+'42'!AO29+'45'!AO29+'48'!AO29+'50'!AO29+'55'!AO29+'61'!AO29+'76'!AO29+'КЛ 77'!AO29+'78'!AO29+КТЛ!AO29+'83'!AO29+'3'!AO30+'110'!AO29+'116'!AO29+'117'!AO29+'1'!AO30+'2'!AO30</f>
        <v>262496</v>
      </c>
      <c r="AP29" s="39"/>
    </row>
    <row r="30" spans="1:44" s="28" customFormat="1" ht="33.75" customHeight="1">
      <c r="A30" s="33"/>
      <c r="B30" s="33" t="s">
        <v>30</v>
      </c>
      <c r="C30" s="34">
        <f>'27'!C30+'37'!C30+'38'!C30+'40'!C30+'42'!C30+'45'!C30+'48'!C30+'50'!C30+'55'!C30+'61'!C30+'76'!C30+'КЛ 77'!C30+'78'!C30+КТЛ!C30+'83'!C30+'3'!C28+'110'!C30+'116'!C30+'117'!C30+'1'!C28+'2'!C28</f>
        <v>0</v>
      </c>
      <c r="D30" s="34">
        <f>SUM(D9:D29)</f>
        <v>5371358.6300000008</v>
      </c>
      <c r="E30" s="34">
        <f>'27'!E30+'37'!E30+'38'!E30+'40'!E30+'42'!E30+'45'!E30+'48'!E30+'50'!E30+'55'!E30+'61'!E30+'76'!E30+'КЛ 77'!E30+'78'!E30+КТЛ!E30+'83'!E30+'3'!E28+'110'!E30+'116'!E30+'117'!E30+'1'!E28+'2'!E28</f>
        <v>5371358.6299999999</v>
      </c>
      <c r="F30" s="34">
        <f>'27'!F30+'37'!F30+'38'!F30+'40'!F30+'42'!F30+'45'!F30+'48'!F30+'50'!F30+'55'!F30+'61'!F30+'76'!F30+'КЛ 77'!F30+'78'!F30+КТЛ!F30+'83'!F30+'3'!F28+'110'!F30+'116'!F30+'117'!F30+'1'!F28+'2'!F28</f>
        <v>0</v>
      </c>
      <c r="G30" s="34">
        <f>'27'!G30+'37'!G30+'38'!G30+'40'!G30+'42'!G30+'45'!G30+'48'!G30+'50'!G30+'55'!G30+'61'!G30+'76'!G30+'КЛ 77'!G30+'78'!G30+КТЛ!G30+'83'!G30+'3'!G28+'110'!G30+'116'!G30+'117'!G30+'1'!G28+'2'!G28</f>
        <v>14913426.110000003</v>
      </c>
      <c r="H30" s="35">
        <f>'27'!H30+'37'!H30+'38'!H30+'40'!H30+'42'!H30+'45'!H30+'48'!H30+'50'!H30+'55'!H30+'61'!H30+'76'!H30+'КЛ 77'!H30+'78'!H30+КТЛ!H30+'83'!H30+'3'!H28+'110'!H30+'116'!H30+'117'!H30+'1'!H28+'2'!H28</f>
        <v>14913426.110000003</v>
      </c>
      <c r="I30" s="34">
        <f>'27'!I30+'37'!I30+'38'!I30+'40'!I30+'42'!I30+'45'!I30+'48'!I30+'50'!I30+'55'!I30+'61'!I30+'76'!I30+'КЛ 77'!I30+'78'!I30+КТЛ!I30+'83'!I30+'3'!I28+'110'!I30+'116'!I30+'117'!I30+'1'!I28+'2'!I28</f>
        <v>0</v>
      </c>
      <c r="J30" s="34">
        <f>'27'!J30+'37'!J30+'38'!J30+'40'!J30+'42'!J30+'45'!J30+'48'!J30+'50'!J30+'55'!J30+'61'!J30+'76'!J30+'КЛ 77'!J30+'78'!J30+КТЛ!J30+'83'!J30+'3'!J28+'110'!J30+'116'!J30+'117'!J30+'1'!J28+'2'!J28</f>
        <v>13777588.600000001</v>
      </c>
      <c r="K30" s="34">
        <f>'27'!K30+'37'!K30+'38'!K30+'40'!K30+'42'!K30+'45'!K30+'48'!K30+'50'!K30+'55'!K30+'61'!K30+'76'!K30+'КЛ 77'!K30+'78'!K30+КТЛ!K30+'83'!K30+'3'!K28+'110'!K30+'116'!K30+'117'!K30+'1'!K28+'2'!K28</f>
        <v>13777588.600000001</v>
      </c>
      <c r="L30" s="34">
        <f>'27'!L30+'37'!L30+'38'!L30+'40'!L30+'42'!L30+'45'!L30+'48'!L30+'50'!L30+'55'!L30+'61'!L30+'76'!L30+'КЛ 77'!L30+'78'!L30+КТЛ!L30+'83'!L30+'3'!L28+'110'!L30+'116'!L30+'117'!L30+'1'!L28+'2'!L28</f>
        <v>0</v>
      </c>
      <c r="M30" s="34">
        <f>'27'!M30+'37'!M30+'38'!M30+'40'!M30+'42'!M30+'45'!M30+'48'!M30+'50'!M30+'55'!M30+'61'!M30+'76'!M30+'КЛ 77'!M30+'78'!M30+КТЛ!M30+'83'!M30+'3'!M28+'110'!M30+'116'!M30+'117'!M30+'1'!M28+'2'!M28</f>
        <v>10844914.779999999</v>
      </c>
      <c r="N30" s="34">
        <f>'27'!N30+'37'!N30+'38'!N30+'40'!N30+'42'!N30+'45'!N30+'48'!N30+'50'!N30+'55'!N30+'61'!N30+'76'!N30+'КЛ 77'!N30+'78'!N30+КТЛ!N30+'83'!N30+'3'!N28+'110'!N30+'116'!N30+'117'!N30+'1'!N28+'2'!N28</f>
        <v>10844914.779999999</v>
      </c>
      <c r="O30" s="34">
        <f>'27'!O30+'37'!O30+'38'!O30+'40'!O30+'42'!O30+'45'!O30+'48'!O30+'50'!O30+'55'!O30+'61'!O30+'76'!O30+'КЛ 77'!O30+'78'!O30+КТЛ!O30+'83'!O30+'3'!O28+'110'!O30+'116'!O30+'117'!O30+'1'!O28+'2'!O28</f>
        <v>0</v>
      </c>
      <c r="P30" s="34">
        <f>'27'!P30+'37'!P30+'38'!P30+'40'!P30+'42'!P30+'45'!P30+'48'!P30+'50'!P30+'55'!P30+'61'!P30+'76'!P30+'КЛ 77'!P30+'78'!P30+КТЛ!P30+'83'!P30+'3'!P28+'110'!P30+'116'!P30+'117'!P30+'1'!P28+'2'!P28</f>
        <v>7241002.79</v>
      </c>
      <c r="Q30" s="34">
        <f>'27'!Q30+'37'!Q30+'38'!Q30+'40'!Q30+'42'!Q30+'45'!Q30+'48'!Q30+'50'!Q30+'55'!Q30+'61'!Q30+'76'!Q30+'КЛ 77'!Q30+'78'!Q30+КТЛ!Q30+'83'!Q30+'3'!Q28+'110'!Q30+'116'!Q30+'117'!Q30+'1'!Q28+'2'!Q28</f>
        <v>7241002.79</v>
      </c>
      <c r="R30" s="34">
        <f>'27'!R30+'37'!R30+'38'!R30+'40'!R30+'42'!R30+'45'!R30+'48'!R30+'50'!R30+'55'!R30+'61'!R30+'76'!R30+'КЛ 77'!R30+'78'!R30+КТЛ!R30+'83'!R30+'3'!R28+'110'!R30+'116'!R30+'117'!R30+'1'!R28+'2'!R28</f>
        <v>0</v>
      </c>
      <c r="S30" s="34">
        <f>'27'!S30+'37'!S30+'38'!S30+'40'!S30+'42'!S30+'45'!S30+'48'!S30+'50'!S30+'55'!S30+'61'!S30+'76'!S30+'КЛ 77'!S30+'78'!S30+КТЛ!S30+'83'!S30+'3'!S28+'110'!S30+'116'!S30+'117'!S30+'1'!S28+'2'!S28</f>
        <v>6872472.4899999993</v>
      </c>
      <c r="T30" s="34">
        <f>'27'!T30+'37'!T30+'38'!T30+'40'!T30+'42'!T30+'45'!T30+'48'!T30+'50'!T30+'55'!T30+'61'!T30+'76'!T30+'КЛ 77'!T30+'78'!T30+КТЛ!T30+'83'!T30+'3'!T28+'110'!T30+'116'!T30+'117'!T30+'1'!T28+'2'!T28</f>
        <v>6872472.4899999993</v>
      </c>
      <c r="U30" s="34">
        <f>'27'!U30+'37'!U30+'38'!U30+'40'!U30+'42'!U30+'45'!U30+'48'!U30+'50'!U30+'55'!U30+'61'!U30+'76'!U30+'КЛ 77'!U30+'78'!U30+КТЛ!U30+'83'!U30+'3'!U28+'110'!U30+'116'!U30+'117'!U30+'1'!U28+'2'!U28</f>
        <v>0</v>
      </c>
      <c r="V30" s="34">
        <f>'27'!V30+'37'!V30+'38'!V30+'40'!V30+'42'!V30+'45'!V30+'48'!V30+'50'!V30+'55'!V30+'61'!V30+'76'!V30+'КЛ 77'!V30+'78'!V30+КТЛ!V30+'83'!V30+'3'!V28+'110'!V30+'116'!V30+'117'!V30+'1'!V28+'2'!V28</f>
        <v>5480637.879999999</v>
      </c>
      <c r="W30" s="34">
        <f>'27'!W30+'37'!W30+'38'!W30+'40'!W30+'42'!W30+'45'!W30+'48'!W30+'50'!W30+'55'!W30+'61'!W30+'76'!W30+'КЛ 77'!W30+'78'!W30+КТЛ!W30+'83'!W30+'3'!W28+'110'!W30+'116'!W30+'117'!W30+'1'!W28+'2'!W28</f>
        <v>5480637.879999999</v>
      </c>
      <c r="X30" s="34">
        <f>'27'!X30+'37'!X30+'38'!X30+'40'!X30+'42'!X30+'45'!X30+'48'!X30+'50'!X30+'55'!X30+'61'!X30+'76'!X30+'КЛ 77'!X30+'78'!X30+КТЛ!X30+'83'!X30+'3'!X28+'110'!X30+'116'!X30+'117'!X30+'1'!X28+'2'!X28</f>
        <v>0</v>
      </c>
      <c r="Y30" s="34">
        <f>'27'!Y30+'37'!Y30+'38'!Y30+'40'!Y30+'42'!Y30+'45'!Y30+'48'!Y30+'50'!Y30+'55'!Y30+'61'!Y30+'76'!Y30+'КЛ 77'!Y30+'78'!Y30+КТЛ!Y30+'83'!Y30+'3'!Y28+'110'!Y30+'116'!Y30+'117'!Y30+'1'!Y28+'2'!Y28</f>
        <v>5853244.5099999998</v>
      </c>
      <c r="Z30" s="34">
        <f>'27'!Z30+'37'!Z30+'38'!Z30+'40'!Z30+'42'!Z30+'45'!Z30+'48'!Z30+'50'!Z30+'55'!Z30+'61'!Z30+'76'!Z30+'КЛ 77'!Z30+'78'!Z30+КТЛ!Z30+'83'!Z30+'3'!Z28+'110'!Z30+'116'!Z30+'117'!Z30+'1'!Z28+'2'!Z28</f>
        <v>5853244.5099999998</v>
      </c>
      <c r="AA30" s="34">
        <f>'27'!AA30+'37'!AA30+'38'!AA30+'40'!AA30+'42'!AA30+'45'!AA30+'48'!AA30+'50'!AA30+'55'!AA30+'61'!AA30+'76'!AA30+'КЛ 77'!AA30+'78'!AA30+КТЛ!AA30+'83'!AA30+'3'!AA28+'110'!AA30+'116'!AA30+'117'!AA30+'1'!AA28+'2'!AA28</f>
        <v>0</v>
      </c>
      <c r="AB30" s="34">
        <f>'27'!AB30+'37'!AB30+'38'!AB30+'40'!AB30+'42'!AB30+'45'!AB30+'48'!AB30+'50'!AB30+'55'!AB30+'61'!AB30+'76'!AB30+'КЛ 77'!AB30+'78'!AB30+КТЛ!AB30+'83'!AB30+'3'!AB28+'110'!AB30+'116'!AB30+'117'!AB30+'1'!AB28+'2'!AB28</f>
        <v>7434494.0900000017</v>
      </c>
      <c r="AC30" s="34">
        <f>'27'!AC30+'37'!AC30+'38'!AC30+'40'!AC30+'42'!AC30+'45'!AC30+'48'!AC30+'50'!AC30+'55'!AC30+'61'!AC30+'76'!AC30+'КЛ 77'!AC30+'78'!AC30+КТЛ!AC30+'83'!AC30+'3'!AC28+'110'!AC30+'116'!AC30+'117'!AC30+'1'!AC28+'2'!AC28</f>
        <v>7434494.0900000017</v>
      </c>
      <c r="AD30" s="34">
        <f>'27'!AD30+'37'!AD30+'38'!AD30+'40'!AD30+'42'!AD30+'45'!AD30+'48'!AD30+'50'!AD30+'55'!AD30+'61'!AD30+'76'!AD30+'КЛ 77'!AD30+'78'!AD30+КТЛ!AD30+'83'!AD30+'3'!AD28+'110'!AD30+'116'!AD30+'117'!AD30+'1'!AD28+'2'!AD28</f>
        <v>0</v>
      </c>
      <c r="AE30" s="34">
        <f>'27'!AE30+'37'!AE30+'38'!AE30+'40'!AE30+'42'!AE30+'45'!AE30+'48'!AE30+'50'!AE30+'55'!AE30+'61'!AE30+'76'!AE30+'КЛ 77'!AE30+'78'!AE30+КТЛ!AE30+'83'!AE30+'3'!AE28+'110'!AE30+'116'!AE30+'117'!AE30+'1'!AE28+'2'!AE28</f>
        <v>0</v>
      </c>
      <c r="AF30" s="34">
        <f>'27'!AF30+'37'!AF30+'38'!AF30+'40'!AF30+'42'!AF30+'45'!AF30+'48'!AF30+'50'!AF30+'55'!AF30+'61'!AF30+'76'!AF30+'КЛ 77'!AF30+'78'!AF30+КТЛ!AF30+'83'!AF30+'3'!AF28+'110'!AF30+'116'!AF30+'117'!AF30+'1'!AF28+'2'!AF28</f>
        <v>0</v>
      </c>
      <c r="AG30" s="34">
        <f>'27'!AG30+'37'!AG30+'38'!AG30+'40'!AG30+'42'!AG30+'45'!AG30+'48'!AG30+'50'!AG30+'55'!AG30+'61'!AG30+'76'!AG30+'КЛ 77'!AG30+'78'!AG30+КТЛ!AG30+'83'!AG30+'3'!AG28+'110'!AG30+'116'!AG30+'117'!AG30+'1'!AG28+'2'!AG28</f>
        <v>0</v>
      </c>
      <c r="AH30" s="34">
        <f>'27'!AH30+'37'!AH30+'38'!AH30+'40'!AH30+'42'!AH30+'45'!AH30+'48'!AH30+'50'!AH30+'55'!AH30+'61'!AH30+'76'!AH30+'КЛ 77'!AH30+'78'!AH30+КТЛ!AH30+'83'!AH30+'3'!AH28+'110'!AH30+'116'!AH30+'117'!AH30+'1'!AH28+'2'!AH28</f>
        <v>0</v>
      </c>
      <c r="AI30" s="34">
        <f>'27'!AI30+'37'!AI30+'38'!AI30+'40'!AI30+'42'!AI30+'45'!AI30+'48'!AI30+'50'!AI30+'55'!AI30+'61'!AI30+'76'!AI30+'КЛ 77'!AI30+'78'!AI30+КТЛ!AI30+'83'!AI30+'3'!AI28+'110'!AI30+'116'!AI30+'117'!AI30+'1'!AI28+'2'!AI28</f>
        <v>0</v>
      </c>
      <c r="AJ30" s="34">
        <f>'27'!AJ30+'37'!AJ30+'38'!AJ30+'40'!AJ30+'42'!AJ30+'45'!AJ30+'48'!AJ30+'50'!AJ30+'55'!AJ30+'61'!AJ30+'76'!AJ30+'КЛ 77'!AJ30+'78'!AJ30+КТЛ!AJ30+'83'!AJ30+'3'!AJ28+'110'!AJ30+'116'!AJ30+'117'!AJ30+'1'!AJ28+'2'!AJ28</f>
        <v>0</v>
      </c>
      <c r="AK30" s="34">
        <f>'27'!AK30+'37'!AK30+'38'!AK30+'40'!AK30+'42'!AK30+'45'!AK30+'48'!AK30+'50'!AK30+'55'!AK30+'61'!AK30+'76'!AK30+'КЛ 77'!AK30+'78'!AK30+КТЛ!AK30+'83'!AK30+'3'!AK28+'110'!AK30+'116'!AK30+'117'!AK30+'1'!AK28+'2'!AK28</f>
        <v>0</v>
      </c>
      <c r="AL30" s="34">
        <f>'27'!AL30+'37'!AL30+'38'!AL30+'40'!AL30+'42'!AL30+'45'!AL30+'48'!AL30+'50'!AL30+'55'!AL30+'61'!AL30+'76'!AL30+'КЛ 77'!AL30+'78'!AL30+КТЛ!AL30+'83'!AL30+'3'!AL28+'110'!AL30+'116'!AL30+'117'!AL30+'1'!AL28+'2'!AL28</f>
        <v>0</v>
      </c>
      <c r="AM30" s="35">
        <f>'27'!AM30+'37'!AM30+'38'!AM30+'40'!AM30+'42'!AM30+'45'!AM30+'48'!AM30+'50'!AM30+'55'!AM30+'61'!AM30+'76'!AM30+'КЛ 77'!AM30+'78'!AM30+КТЛ!AM30+'83'!AM30+'3'!AM28+'110'!AM30+'116'!AM30+'117'!AM30+'1'!AM28+'2'!AM28</f>
        <v>0</v>
      </c>
      <c r="AN30" s="35">
        <f>SUM(AN9:AN29)</f>
        <v>79417949.030000001</v>
      </c>
      <c r="AO30" s="35">
        <f>SUM(AO9:AO29)</f>
        <v>79417949.030000001</v>
      </c>
      <c r="AP30" s="41" t="s">
        <v>60</v>
      </c>
      <c r="AR30" s="29"/>
    </row>
    <row r="31" spans="1:44" s="28" customFormat="1" ht="15.6">
      <c r="D31" s="48"/>
      <c r="AO31" s="44"/>
    </row>
    <row r="32" spans="1:44" s="28" customFormat="1" ht="15.6">
      <c r="AO32" s="29"/>
    </row>
    <row r="33" spans="1:41" s="28" customFormat="1" ht="16.2">
      <c r="A33" s="17"/>
      <c r="B33" s="17"/>
      <c r="C33" s="17"/>
      <c r="D33" s="17"/>
      <c r="E33" s="17"/>
      <c r="F33" s="17"/>
      <c r="G33" s="17"/>
      <c r="H33" s="17"/>
      <c r="I33" s="17"/>
      <c r="K33" s="36"/>
    </row>
    <row r="34" spans="1:41">
      <c r="AO34" s="45"/>
    </row>
    <row r="35" spans="1:41">
      <c r="A35" s="18"/>
      <c r="B35" s="18"/>
      <c r="AO35" s="45"/>
    </row>
  </sheetData>
  <mergeCells count="16">
    <mergeCell ref="AM7:AO7"/>
    <mergeCell ref="U7:W7"/>
    <mergeCell ref="X7:Z7"/>
    <mergeCell ref="AA7:AC7"/>
    <mergeCell ref="AD7:AF7"/>
    <mergeCell ref="AG7:AI7"/>
    <mergeCell ref="AJ7:AL7"/>
    <mergeCell ref="A5:O5"/>
    <mergeCell ref="A6:T6"/>
    <mergeCell ref="A7:B7"/>
    <mergeCell ref="C7:E7"/>
    <mergeCell ref="F7:H7"/>
    <mergeCell ref="I7:K7"/>
    <mergeCell ref="L7:N7"/>
    <mergeCell ref="O7:Q7"/>
    <mergeCell ref="R7:T7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  <rowBreaks count="1" manualBreakCount="1">
    <brk id="30" max="42" man="1"/>
  </rowBreaks>
  <colBreaks count="2" manualBreakCount="2">
    <brk id="23" max="1048575" man="1"/>
    <brk id="41" max="37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AO33"/>
  <sheetViews>
    <sheetView zoomScale="90" zoomScaleNormal="90" workbookViewId="0">
      <pane xSplit="2" ySplit="9" topLeftCell="T25" activePane="bottomRight" state="frozen"/>
      <selection pane="topRight" activeCell="C1" sqref="C1"/>
      <selection pane="bottomLeft" activeCell="A10" sqref="A10"/>
      <selection pane="bottomRight" activeCell="A10" sqref="A10:B28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6640625" customWidth="1"/>
    <col min="5" max="5" width="10.44140625" customWidth="1"/>
    <col min="6" max="6" width="11.6640625" customWidth="1"/>
    <col min="7" max="8" width="11.33203125" customWidth="1"/>
    <col min="9" max="9" width="11.109375" customWidth="1"/>
    <col min="10" max="10" width="12.5546875" customWidth="1"/>
    <col min="11" max="11" width="11.5546875" customWidth="1"/>
    <col min="12" max="12" width="12.44140625" customWidth="1"/>
    <col min="13" max="13" width="10.6640625" customWidth="1"/>
    <col min="14" max="14" width="10.44140625" customWidth="1"/>
    <col min="15" max="15" width="13.5546875" customWidth="1"/>
    <col min="16" max="16" width="11.88671875" customWidth="1"/>
    <col min="17" max="17" width="10.6640625" customWidth="1"/>
    <col min="18" max="18" width="11.44140625" customWidth="1"/>
    <col min="19" max="19" width="10.6640625" customWidth="1"/>
    <col min="20" max="20" width="10.44140625" customWidth="1"/>
    <col min="21" max="21" width="12.33203125" customWidth="1"/>
    <col min="22" max="22" width="10.88671875" customWidth="1"/>
    <col min="23" max="23" width="11.109375" customWidth="1"/>
    <col min="24" max="24" width="11.44140625" customWidth="1"/>
    <col min="25" max="25" width="10.5546875" customWidth="1"/>
    <col min="26" max="26" width="10.6640625" customWidth="1"/>
    <col min="27" max="27" width="11.44140625" customWidth="1"/>
    <col min="28" max="28" width="10.5546875" customWidth="1"/>
    <col min="29" max="29" width="11" customWidth="1"/>
    <col min="30" max="30" width="11.44140625" customWidth="1"/>
    <col min="31" max="31" width="10.88671875" customWidth="1"/>
    <col min="32" max="32" width="10.44140625" customWidth="1"/>
    <col min="33" max="33" width="11.33203125" customWidth="1"/>
    <col min="34" max="34" width="10.88671875" customWidth="1"/>
    <col min="35" max="35" width="11.5546875" customWidth="1"/>
    <col min="36" max="36" width="11.88671875" customWidth="1"/>
    <col min="37" max="37" width="10.5546875" customWidth="1"/>
    <col min="38" max="38" width="10.88671875" customWidth="1"/>
    <col min="39" max="39" width="12" customWidth="1"/>
    <col min="40" max="40" width="11.5546875" customWidth="1"/>
    <col min="41" max="41" width="12.88671875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1.25" customHeight="1">
      <c r="L4" s="1"/>
      <c r="M4" s="1"/>
      <c r="N4" s="1"/>
      <c r="O4" s="1"/>
      <c r="R4" s="1" t="s">
        <v>33</v>
      </c>
      <c r="S4" s="1"/>
      <c r="T4" s="1"/>
    </row>
    <row r="5" spans="1:41" ht="19.5" customHeight="1">
      <c r="A5" s="54" t="s">
        <v>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4" t="s">
        <v>40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41" ht="19.5" customHeight="1">
      <c r="A7" s="56" t="s">
        <v>48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41" ht="35.25" customHeight="1">
      <c r="A8" s="52"/>
      <c r="B8" s="53"/>
      <c r="C8" s="52" t="s">
        <v>17</v>
      </c>
      <c r="D8" s="55"/>
      <c r="E8" s="53"/>
      <c r="F8" s="52" t="s">
        <v>18</v>
      </c>
      <c r="G8" s="55"/>
      <c r="H8" s="53"/>
      <c r="I8" s="52" t="s">
        <v>19</v>
      </c>
      <c r="J8" s="55"/>
      <c r="K8" s="53"/>
      <c r="L8" s="52" t="s">
        <v>20</v>
      </c>
      <c r="M8" s="55"/>
      <c r="N8" s="53"/>
      <c r="O8" s="52" t="s">
        <v>21</v>
      </c>
      <c r="P8" s="55"/>
      <c r="Q8" s="53"/>
      <c r="R8" s="49" t="s">
        <v>22</v>
      </c>
      <c r="S8" s="50"/>
      <c r="T8" s="51"/>
      <c r="U8" s="49" t="s">
        <v>23</v>
      </c>
      <c r="V8" s="50"/>
      <c r="W8" s="51"/>
      <c r="X8" s="49" t="s">
        <v>24</v>
      </c>
      <c r="Y8" s="50"/>
      <c r="Z8" s="51"/>
      <c r="AA8" s="49" t="s">
        <v>25</v>
      </c>
      <c r="AB8" s="50"/>
      <c r="AC8" s="51"/>
      <c r="AD8" s="49" t="s">
        <v>26</v>
      </c>
      <c r="AE8" s="50"/>
      <c r="AF8" s="51"/>
      <c r="AG8" s="49" t="s">
        <v>27</v>
      </c>
      <c r="AH8" s="50"/>
      <c r="AI8" s="51"/>
      <c r="AJ8" s="49" t="s">
        <v>28</v>
      </c>
      <c r="AK8" s="50"/>
      <c r="AL8" s="51"/>
      <c r="AM8" s="49" t="s">
        <v>29</v>
      </c>
      <c r="AN8" s="50"/>
      <c r="AO8" s="51"/>
    </row>
    <row r="9" spans="1:41" s="13" customFormat="1" ht="24" customHeight="1">
      <c r="A9" s="10"/>
      <c r="B9" s="11"/>
      <c r="C9" s="9" t="s">
        <v>36</v>
      </c>
      <c r="D9" s="9" t="s">
        <v>43</v>
      </c>
      <c r="E9" s="9" t="s">
        <v>37</v>
      </c>
      <c r="F9" s="9" t="s">
        <v>36</v>
      </c>
      <c r="G9" s="9" t="s">
        <v>43</v>
      </c>
      <c r="H9" s="9" t="s">
        <v>37</v>
      </c>
      <c r="I9" s="9" t="s">
        <v>36</v>
      </c>
      <c r="J9" s="9" t="s">
        <v>43</v>
      </c>
      <c r="K9" s="9" t="s">
        <v>37</v>
      </c>
      <c r="L9" s="9" t="s">
        <v>36</v>
      </c>
      <c r="M9" s="9" t="s">
        <v>43</v>
      </c>
      <c r="N9" s="9" t="s">
        <v>37</v>
      </c>
      <c r="O9" s="9" t="s">
        <v>36</v>
      </c>
      <c r="P9" s="9" t="s">
        <v>43</v>
      </c>
      <c r="Q9" s="9" t="s">
        <v>37</v>
      </c>
      <c r="R9" s="9" t="s">
        <v>36</v>
      </c>
      <c r="S9" s="9" t="s">
        <v>43</v>
      </c>
      <c r="T9" s="9" t="s">
        <v>37</v>
      </c>
      <c r="U9" s="9" t="s">
        <v>36</v>
      </c>
      <c r="V9" s="9" t="s">
        <v>43</v>
      </c>
      <c r="W9" s="9" t="s">
        <v>37</v>
      </c>
      <c r="X9" s="9" t="s">
        <v>36</v>
      </c>
      <c r="Y9" s="9" t="s">
        <v>43</v>
      </c>
      <c r="Z9" s="9" t="s">
        <v>37</v>
      </c>
      <c r="AA9" s="9" t="s">
        <v>36</v>
      </c>
      <c r="AB9" s="9" t="s">
        <v>43</v>
      </c>
      <c r="AC9" s="9" t="s">
        <v>37</v>
      </c>
      <c r="AD9" s="9" t="s">
        <v>36</v>
      </c>
      <c r="AE9" s="9" t="s">
        <v>43</v>
      </c>
      <c r="AF9" s="9" t="s">
        <v>37</v>
      </c>
      <c r="AG9" s="9" t="s">
        <v>36</v>
      </c>
      <c r="AH9" s="9" t="s">
        <v>43</v>
      </c>
      <c r="AI9" s="9" t="s">
        <v>37</v>
      </c>
      <c r="AJ9" s="9" t="s">
        <v>36</v>
      </c>
      <c r="AK9" s="9" t="s">
        <v>43</v>
      </c>
      <c r="AL9" s="9" t="s">
        <v>37</v>
      </c>
      <c r="AM9" s="9" t="s">
        <v>36</v>
      </c>
      <c r="AN9" s="9" t="s">
        <v>43</v>
      </c>
      <c r="AO9" s="9" t="s">
        <v>37</v>
      </c>
    </row>
    <row r="10" spans="1:41" ht="20.100000000000001" customHeight="1">
      <c r="A10" s="3"/>
      <c r="B10" s="3"/>
      <c r="C10" s="4"/>
      <c r="D10" s="4"/>
      <c r="E10" s="4">
        <f>D10+C10</f>
        <v>0</v>
      </c>
      <c r="F10" s="4"/>
      <c r="G10" s="4"/>
      <c r="H10" s="4">
        <f>G10+F10</f>
        <v>0</v>
      </c>
      <c r="I10" s="4"/>
      <c r="J10" s="4"/>
      <c r="K10" s="4">
        <f>J10+I10</f>
        <v>0</v>
      </c>
      <c r="L10" s="4"/>
      <c r="M10" s="4"/>
      <c r="N10" s="4">
        <f>M10+L10</f>
        <v>0</v>
      </c>
      <c r="O10" s="4"/>
      <c r="P10" s="4"/>
      <c r="Q10" s="4">
        <f>P10+O10</f>
        <v>0</v>
      </c>
      <c r="R10" s="3"/>
      <c r="S10" s="3"/>
      <c r="T10" s="4">
        <f>S10+R10</f>
        <v>0</v>
      </c>
      <c r="U10" s="3"/>
      <c r="V10" s="3"/>
      <c r="W10" s="4">
        <f>V10+U10</f>
        <v>0</v>
      </c>
      <c r="X10" s="3"/>
      <c r="Y10" s="3"/>
      <c r="Z10" s="4">
        <f>Y10+X10</f>
        <v>0</v>
      </c>
      <c r="AA10" s="3"/>
      <c r="AB10" s="3"/>
      <c r="AC10" s="4">
        <f>AB10+AA10</f>
        <v>0</v>
      </c>
      <c r="AD10" s="3"/>
      <c r="AE10" s="3"/>
      <c r="AF10" s="4">
        <f>AE10+AD10</f>
        <v>0</v>
      </c>
      <c r="AG10" s="3"/>
      <c r="AH10" s="3"/>
      <c r="AI10" s="4">
        <f>AH10+AG10</f>
        <v>0</v>
      </c>
      <c r="AJ10" s="3"/>
      <c r="AK10" s="3"/>
      <c r="AL10" s="4">
        <f>AK10+AJ10</f>
        <v>0</v>
      </c>
      <c r="AM10" s="4">
        <f>AJ10+AG10+AD10+AA10+X10+U10+R10+O10+L10+I10+F10+C10</f>
        <v>0</v>
      </c>
      <c r="AN10" s="4">
        <f>AK10+AH10+AE10+AB10+Y10+V10+S10+P10+M10+J10+G10+D10</f>
        <v>0</v>
      </c>
      <c r="AO10" s="4">
        <f>AL10+AI10+AF10+AC10+Z10+W10+T10+Q10+N10+K10+H10+E10</f>
        <v>0</v>
      </c>
    </row>
    <row r="11" spans="1:41" ht="20.100000000000001" customHeight="1">
      <c r="A11" s="3"/>
      <c r="B11" s="3"/>
      <c r="C11" s="4"/>
      <c r="D11" s="4"/>
      <c r="E11" s="4">
        <f t="shared" ref="E11:E27" si="0">D11+C11</f>
        <v>0</v>
      </c>
      <c r="F11" s="4"/>
      <c r="G11" s="4"/>
      <c r="H11" s="4">
        <f t="shared" ref="H11:H27" si="1">G11+F11</f>
        <v>0</v>
      </c>
      <c r="I11" s="4"/>
      <c r="J11" s="4"/>
      <c r="K11" s="4">
        <f t="shared" ref="K11:K27" si="2">J11+I11</f>
        <v>0</v>
      </c>
      <c r="L11" s="4"/>
      <c r="M11" s="4"/>
      <c r="N11" s="4">
        <f t="shared" ref="N11:N27" si="3">M11+L11</f>
        <v>0</v>
      </c>
      <c r="O11" s="4"/>
      <c r="P11" s="4"/>
      <c r="Q11" s="4">
        <f t="shared" ref="Q11:Q27" si="4">P11+O11</f>
        <v>0</v>
      </c>
      <c r="R11" s="3"/>
      <c r="S11" s="3"/>
      <c r="T11" s="4">
        <f t="shared" ref="T11:T27" si="5">S11+R11</f>
        <v>0</v>
      </c>
      <c r="U11" s="3"/>
      <c r="V11" s="3"/>
      <c r="W11" s="4">
        <f t="shared" ref="W11:W27" si="6">V11+U11</f>
        <v>0</v>
      </c>
      <c r="X11" s="3"/>
      <c r="Y11" s="3"/>
      <c r="Z11" s="4">
        <f t="shared" ref="Z11:Z28" si="7">Y11+X11</f>
        <v>0</v>
      </c>
      <c r="AA11" s="3"/>
      <c r="AB11" s="3"/>
      <c r="AC11" s="4">
        <f t="shared" ref="AC11:AC27" si="8">AB11+AA11</f>
        <v>0</v>
      </c>
      <c r="AD11" s="3"/>
      <c r="AE11" s="4"/>
      <c r="AF11" s="4">
        <f t="shared" ref="AF11:AF27" si="9">AE11+AD11</f>
        <v>0</v>
      </c>
      <c r="AG11" s="3"/>
      <c r="AH11" s="3"/>
      <c r="AI11" s="4">
        <f t="shared" ref="AI11:AI27" si="10">AH11+AG11</f>
        <v>0</v>
      </c>
      <c r="AJ11" s="3"/>
      <c r="AK11" s="3"/>
      <c r="AL11" s="4">
        <f t="shared" ref="AL11:AL27" si="11">AK11+AJ11</f>
        <v>0</v>
      </c>
      <c r="AM11" s="4">
        <f>AJ11+AG11+AD11+AA11+X11+U11+R11+O11+L11+I11+F11+C11</f>
        <v>0</v>
      </c>
      <c r="AN11" s="4">
        <f>AK11+AH11+AE11+AB11+Y11+V11+S11+P11+M11+J11+G11+D11</f>
        <v>0</v>
      </c>
      <c r="AO11" s="4">
        <f t="shared" ref="AO11:AO27" si="12">AL11+AI11+AF11+AC11+Z11+W11+T11+Q11+N11+K11+H11+E11</f>
        <v>0</v>
      </c>
    </row>
    <row r="12" spans="1:41" ht="20.100000000000001" customHeight="1">
      <c r="A12" s="3"/>
      <c r="B12" s="3"/>
      <c r="C12" s="4"/>
      <c r="D12" s="4"/>
      <c r="E12" s="4">
        <f t="shared" si="0"/>
        <v>0</v>
      </c>
      <c r="F12" s="4"/>
      <c r="G12" s="4"/>
      <c r="H12" s="4">
        <f t="shared" si="1"/>
        <v>0</v>
      </c>
      <c r="I12" s="4"/>
      <c r="J12" s="4"/>
      <c r="K12" s="4">
        <f t="shared" si="2"/>
        <v>0</v>
      </c>
      <c r="L12" s="4"/>
      <c r="M12" s="4"/>
      <c r="N12" s="4">
        <f t="shared" si="3"/>
        <v>0</v>
      </c>
      <c r="O12" s="8"/>
      <c r="P12" s="3"/>
      <c r="Q12" s="4">
        <f t="shared" si="4"/>
        <v>0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/>
      <c r="AC12" s="4">
        <f t="shared" si="8"/>
        <v>0</v>
      </c>
      <c r="AD12" s="3"/>
      <c r="AE12" s="3"/>
      <c r="AF12" s="4">
        <f t="shared" si="9"/>
        <v>0</v>
      </c>
      <c r="AG12" s="3"/>
      <c r="AH12" s="4"/>
      <c r="AI12" s="4">
        <f t="shared" si="10"/>
        <v>0</v>
      </c>
      <c r="AJ12" s="3"/>
      <c r="AK12" s="3"/>
      <c r="AL12" s="4">
        <f t="shared" si="11"/>
        <v>0</v>
      </c>
      <c r="AM12" s="4">
        <f t="shared" ref="AM12:AM27" si="13">AJ12+AG12+AD12+AA12+X12+U12+R12+O12+L12+I12+F12+C12</f>
        <v>0</v>
      </c>
      <c r="AN12" s="4">
        <f t="shared" ref="AN12:AN27" si="14">AK12+AH12+AE12+AB12+Y12+V12+S12+P12+M12+J12+G12+D12</f>
        <v>0</v>
      </c>
      <c r="AO12" s="4">
        <f t="shared" si="12"/>
        <v>0</v>
      </c>
    </row>
    <row r="13" spans="1:41" ht="20.100000000000001" customHeight="1">
      <c r="A13" s="3"/>
      <c r="B13" s="3"/>
      <c r="C13" s="4"/>
      <c r="D13" s="4"/>
      <c r="E13" s="4">
        <f t="shared" si="0"/>
        <v>0</v>
      </c>
      <c r="F13" s="4"/>
      <c r="G13" s="4"/>
      <c r="H13" s="4">
        <f t="shared" si="1"/>
        <v>0</v>
      </c>
      <c r="I13" s="4"/>
      <c r="J13" s="4"/>
      <c r="K13" s="4">
        <f t="shared" si="2"/>
        <v>0</v>
      </c>
      <c r="L13" s="4"/>
      <c r="M13" s="4"/>
      <c r="N13" s="4">
        <f t="shared" si="3"/>
        <v>0</v>
      </c>
      <c r="O13" s="8"/>
      <c r="P13" s="3"/>
      <c r="Q13" s="4">
        <f t="shared" si="4"/>
        <v>0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3"/>
      <c r="AC13" s="4">
        <f t="shared" si="8"/>
        <v>0</v>
      </c>
      <c r="AD13" s="3"/>
      <c r="AE13" s="4"/>
      <c r="AF13" s="4">
        <f t="shared" si="9"/>
        <v>0</v>
      </c>
      <c r="AG13" s="3"/>
      <c r="AH13" s="3"/>
      <c r="AI13" s="4">
        <f t="shared" si="10"/>
        <v>0</v>
      </c>
      <c r="AJ13" s="3"/>
      <c r="AK13" s="3"/>
      <c r="AL13" s="4">
        <f t="shared" si="11"/>
        <v>0</v>
      </c>
      <c r="AM13" s="4">
        <f t="shared" si="13"/>
        <v>0</v>
      </c>
      <c r="AN13" s="4">
        <f t="shared" si="14"/>
        <v>0</v>
      </c>
      <c r="AO13" s="4">
        <f t="shared" si="12"/>
        <v>0</v>
      </c>
    </row>
    <row r="14" spans="1:41" ht="20.100000000000001" customHeight="1">
      <c r="A14" s="3"/>
      <c r="B14" s="3"/>
      <c r="C14" s="4"/>
      <c r="D14" s="4"/>
      <c r="E14" s="4">
        <f t="shared" si="0"/>
        <v>0</v>
      </c>
      <c r="F14" s="4"/>
      <c r="G14" s="4"/>
      <c r="H14" s="4">
        <f t="shared" si="1"/>
        <v>0</v>
      </c>
      <c r="I14" s="4"/>
      <c r="J14" s="4"/>
      <c r="K14" s="4">
        <f t="shared" si="2"/>
        <v>0</v>
      </c>
      <c r="L14" s="4"/>
      <c r="M14" s="4"/>
      <c r="N14" s="4">
        <f t="shared" si="3"/>
        <v>0</v>
      </c>
      <c r="O14" s="4"/>
      <c r="P14" s="3"/>
      <c r="Q14" s="4">
        <f t="shared" si="4"/>
        <v>0</v>
      </c>
      <c r="R14" s="3"/>
      <c r="S14" s="3"/>
      <c r="T14" s="4">
        <f t="shared" si="5"/>
        <v>0</v>
      </c>
      <c r="U14" s="3"/>
      <c r="V14" s="3"/>
      <c r="W14" s="4">
        <f t="shared" si="6"/>
        <v>0</v>
      </c>
      <c r="X14" s="3"/>
      <c r="Y14" s="3"/>
      <c r="Z14" s="4">
        <f t="shared" si="7"/>
        <v>0</v>
      </c>
      <c r="AA14" s="3"/>
      <c r="AB14" s="3"/>
      <c r="AC14" s="4">
        <f t="shared" si="8"/>
        <v>0</v>
      </c>
      <c r="AD14" s="3"/>
      <c r="AE14" s="3"/>
      <c r="AF14" s="4">
        <f t="shared" si="9"/>
        <v>0</v>
      </c>
      <c r="AG14" s="3"/>
      <c r="AH14" s="3"/>
      <c r="AI14" s="4">
        <f t="shared" si="10"/>
        <v>0</v>
      </c>
      <c r="AJ14" s="3"/>
      <c r="AK14" s="3"/>
      <c r="AL14" s="4">
        <f t="shared" si="11"/>
        <v>0</v>
      </c>
      <c r="AM14" s="4">
        <f t="shared" si="13"/>
        <v>0</v>
      </c>
      <c r="AN14" s="4">
        <f t="shared" si="14"/>
        <v>0</v>
      </c>
      <c r="AO14" s="4">
        <f t="shared" si="12"/>
        <v>0</v>
      </c>
    </row>
    <row r="15" spans="1:41" ht="20.100000000000001" customHeight="1">
      <c r="A15" s="3"/>
      <c r="B15" s="3"/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4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3"/>
      <c r="AC15" s="4">
        <f t="shared" si="8"/>
        <v>0</v>
      </c>
      <c r="AD15" s="3"/>
      <c r="AE15" s="3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3"/>
        <v>0</v>
      </c>
      <c r="AN15" s="4">
        <f t="shared" si="14"/>
        <v>0</v>
      </c>
      <c r="AO15" s="4">
        <f t="shared" si="12"/>
        <v>0</v>
      </c>
    </row>
    <row r="16" spans="1:41" ht="20.100000000000001" customHeight="1">
      <c r="A16" s="3"/>
      <c r="B16" s="3"/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4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4"/>
      <c r="AI16" s="4">
        <f t="shared" si="10"/>
        <v>0</v>
      </c>
      <c r="AJ16" s="3"/>
      <c r="AK16" s="3"/>
      <c r="AL16" s="4">
        <f t="shared" si="11"/>
        <v>0</v>
      </c>
      <c r="AM16" s="4">
        <f t="shared" si="13"/>
        <v>0</v>
      </c>
      <c r="AN16" s="4">
        <f t="shared" si="14"/>
        <v>0</v>
      </c>
      <c r="AO16" s="4">
        <f t="shared" si="12"/>
        <v>0</v>
      </c>
    </row>
    <row r="17" spans="1:41" ht="20.100000000000001" customHeight="1">
      <c r="A17" s="3"/>
      <c r="B17" s="3"/>
      <c r="C17" s="4"/>
      <c r="D17" s="4"/>
      <c r="E17" s="4">
        <f t="shared" si="0"/>
        <v>0</v>
      </c>
      <c r="F17" s="4"/>
      <c r="G17" s="4"/>
      <c r="H17" s="4">
        <f t="shared" si="1"/>
        <v>0</v>
      </c>
      <c r="I17" s="4"/>
      <c r="J17" s="4"/>
      <c r="K17" s="4">
        <f t="shared" si="2"/>
        <v>0</v>
      </c>
      <c r="L17" s="4"/>
      <c r="M17" s="4"/>
      <c r="N17" s="4">
        <f t="shared" si="3"/>
        <v>0</v>
      </c>
      <c r="O17" s="4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3"/>
        <v>0</v>
      </c>
      <c r="AN17" s="4">
        <f t="shared" si="14"/>
        <v>0</v>
      </c>
      <c r="AO17" s="4">
        <f t="shared" si="12"/>
        <v>0</v>
      </c>
    </row>
    <row r="18" spans="1:41" ht="20.100000000000001" customHeight="1">
      <c r="A18" s="3"/>
      <c r="B18" s="3"/>
      <c r="C18" s="4"/>
      <c r="D18" s="4"/>
      <c r="E18" s="4">
        <f t="shared" si="0"/>
        <v>0</v>
      </c>
      <c r="F18" s="4"/>
      <c r="G18" s="4"/>
      <c r="H18" s="4">
        <f t="shared" si="1"/>
        <v>0</v>
      </c>
      <c r="I18" s="4"/>
      <c r="J18" s="4"/>
      <c r="K18" s="4">
        <f t="shared" si="2"/>
        <v>0</v>
      </c>
      <c r="L18" s="4"/>
      <c r="M18" s="4"/>
      <c r="N18" s="4">
        <f t="shared" si="3"/>
        <v>0</v>
      </c>
      <c r="O18" s="4"/>
      <c r="P18" s="3"/>
      <c r="Q18" s="4">
        <f t="shared" si="4"/>
        <v>0</v>
      </c>
      <c r="R18" s="3"/>
      <c r="S18" s="3"/>
      <c r="T18" s="4">
        <f t="shared" si="5"/>
        <v>0</v>
      </c>
      <c r="U18" s="3"/>
      <c r="V18" s="3"/>
      <c r="W18" s="4">
        <f t="shared" si="6"/>
        <v>0</v>
      </c>
      <c r="X18" s="3"/>
      <c r="Y18" s="3"/>
      <c r="Z18" s="4">
        <f t="shared" si="7"/>
        <v>0</v>
      </c>
      <c r="AA18" s="3"/>
      <c r="AB18" s="4"/>
      <c r="AC18" s="4">
        <f t="shared" si="8"/>
        <v>0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3"/>
        <v>0</v>
      </c>
      <c r="AN18" s="4">
        <f t="shared" si="14"/>
        <v>0</v>
      </c>
      <c r="AO18" s="4">
        <f t="shared" si="12"/>
        <v>0</v>
      </c>
    </row>
    <row r="19" spans="1:41" ht="20.100000000000001" customHeight="1">
      <c r="A19" s="3"/>
      <c r="B19" s="3"/>
      <c r="C19" s="4"/>
      <c r="D19" s="4"/>
      <c r="E19" s="4">
        <f t="shared" si="0"/>
        <v>0</v>
      </c>
      <c r="F19" s="4"/>
      <c r="G19" s="4"/>
      <c r="H19" s="4">
        <f t="shared" si="1"/>
        <v>0</v>
      </c>
      <c r="I19" s="4"/>
      <c r="J19" s="4"/>
      <c r="K19" s="4">
        <f t="shared" si="2"/>
        <v>0</v>
      </c>
      <c r="L19" s="4"/>
      <c r="M19" s="4"/>
      <c r="N19" s="4">
        <f t="shared" si="3"/>
        <v>0</v>
      </c>
      <c r="O19" s="4"/>
      <c r="P19" s="3"/>
      <c r="Q19" s="4">
        <f t="shared" si="4"/>
        <v>0</v>
      </c>
      <c r="R19" s="3"/>
      <c r="S19" s="3"/>
      <c r="T19" s="4">
        <f t="shared" si="5"/>
        <v>0</v>
      </c>
      <c r="U19" s="3"/>
      <c r="V19" s="3"/>
      <c r="W19" s="4">
        <f t="shared" si="6"/>
        <v>0</v>
      </c>
      <c r="X19" s="3"/>
      <c r="Y19" s="3"/>
      <c r="Z19" s="4">
        <f t="shared" si="7"/>
        <v>0</v>
      </c>
      <c r="AA19" s="3"/>
      <c r="AB19" s="3"/>
      <c r="AC19" s="4">
        <f t="shared" si="8"/>
        <v>0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3"/>
      <c r="AL19" s="4">
        <f t="shared" si="11"/>
        <v>0</v>
      </c>
      <c r="AM19" s="4">
        <f t="shared" si="13"/>
        <v>0</v>
      </c>
      <c r="AN19" s="4">
        <f t="shared" si="14"/>
        <v>0</v>
      </c>
      <c r="AO19" s="4">
        <f t="shared" si="12"/>
        <v>0</v>
      </c>
    </row>
    <row r="20" spans="1:41" ht="20.100000000000001" customHeight="1">
      <c r="A20" s="3"/>
      <c r="B20" s="3"/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3"/>
      <c r="AC20" s="4">
        <f t="shared" si="8"/>
        <v>0</v>
      </c>
      <c r="AD20" s="3"/>
      <c r="AE20" s="3"/>
      <c r="AF20" s="4">
        <f t="shared" si="9"/>
        <v>0</v>
      </c>
      <c r="AG20" s="3"/>
      <c r="AH20" s="3"/>
      <c r="AI20" s="4">
        <f t="shared" si="10"/>
        <v>0</v>
      </c>
      <c r="AJ20" s="3"/>
      <c r="AK20" s="3"/>
      <c r="AL20" s="4">
        <f t="shared" si="11"/>
        <v>0</v>
      </c>
      <c r="AM20" s="4">
        <f t="shared" si="13"/>
        <v>0</v>
      </c>
      <c r="AN20" s="4">
        <f t="shared" si="14"/>
        <v>0</v>
      </c>
      <c r="AO20" s="4">
        <f t="shared" si="12"/>
        <v>0</v>
      </c>
    </row>
    <row r="21" spans="1:41" ht="20.100000000000001" customHeight="1">
      <c r="A21" s="3"/>
      <c r="B21" s="3"/>
      <c r="C21" s="4"/>
      <c r="D21" s="4"/>
      <c r="E21" s="4">
        <f t="shared" si="0"/>
        <v>0</v>
      </c>
      <c r="F21" s="4"/>
      <c r="G21" s="4"/>
      <c r="H21" s="4">
        <f t="shared" si="1"/>
        <v>0</v>
      </c>
      <c r="I21" s="4"/>
      <c r="J21" s="4"/>
      <c r="K21" s="4">
        <f t="shared" si="2"/>
        <v>0</v>
      </c>
      <c r="L21" s="4"/>
      <c r="M21" s="4"/>
      <c r="N21" s="4">
        <f t="shared" si="3"/>
        <v>0</v>
      </c>
      <c r="O21" s="8"/>
      <c r="P21" s="3"/>
      <c r="Q21" s="4">
        <f t="shared" si="4"/>
        <v>0</v>
      </c>
      <c r="R21" s="3"/>
      <c r="S21" s="3"/>
      <c r="T21" s="4">
        <f t="shared" si="5"/>
        <v>0</v>
      </c>
      <c r="U21" s="3"/>
      <c r="V21" s="3"/>
      <c r="W21" s="4">
        <f t="shared" si="6"/>
        <v>0</v>
      </c>
      <c r="X21" s="3"/>
      <c r="Y21" s="3"/>
      <c r="Z21" s="4">
        <f t="shared" si="7"/>
        <v>0</v>
      </c>
      <c r="AA21" s="3"/>
      <c r="AB21" s="4"/>
      <c r="AC21" s="4">
        <f t="shared" si="8"/>
        <v>0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3"/>
        <v>0</v>
      </c>
      <c r="AN21" s="4">
        <f t="shared" si="14"/>
        <v>0</v>
      </c>
      <c r="AO21" s="4">
        <f t="shared" si="12"/>
        <v>0</v>
      </c>
    </row>
    <row r="22" spans="1:41" ht="20.100000000000001" customHeight="1">
      <c r="A22" s="3"/>
      <c r="B22" s="3"/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8"/>
      <c r="P22" s="3"/>
      <c r="Q22" s="4">
        <f t="shared" si="4"/>
        <v>0</v>
      </c>
      <c r="R22" s="3"/>
      <c r="S22" s="3"/>
      <c r="T22" s="4">
        <f t="shared" si="5"/>
        <v>0</v>
      </c>
      <c r="U22" s="3"/>
      <c r="V22" s="3"/>
      <c r="W22" s="4">
        <f t="shared" si="6"/>
        <v>0</v>
      </c>
      <c r="X22" s="3"/>
      <c r="Y22" s="3"/>
      <c r="Z22" s="4">
        <f t="shared" si="7"/>
        <v>0</v>
      </c>
      <c r="AA22" s="3"/>
      <c r="AB22" s="3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3"/>
      <c r="AL22" s="4">
        <f t="shared" si="11"/>
        <v>0</v>
      </c>
      <c r="AM22" s="4">
        <f t="shared" si="13"/>
        <v>0</v>
      </c>
      <c r="AN22" s="4">
        <f t="shared" si="14"/>
        <v>0</v>
      </c>
      <c r="AO22" s="4">
        <f t="shared" si="12"/>
        <v>0</v>
      </c>
    </row>
    <row r="23" spans="1:41" ht="44.25" customHeight="1">
      <c r="A23" s="6"/>
      <c r="B23" s="5"/>
      <c r="C23" s="4"/>
      <c r="D23" s="4"/>
      <c r="E23" s="4">
        <f t="shared" si="0"/>
        <v>0</v>
      </c>
      <c r="F23" s="4"/>
      <c r="G23" s="4"/>
      <c r="H23" s="4">
        <f t="shared" si="1"/>
        <v>0</v>
      </c>
      <c r="I23" s="4"/>
      <c r="J23" s="4"/>
      <c r="K23" s="4">
        <f t="shared" si="2"/>
        <v>0</v>
      </c>
      <c r="L23" s="4"/>
      <c r="M23" s="4"/>
      <c r="N23" s="4">
        <f t="shared" si="3"/>
        <v>0</v>
      </c>
      <c r="O23" s="8"/>
      <c r="P23" s="3"/>
      <c r="Q23" s="4">
        <f t="shared" si="4"/>
        <v>0</v>
      </c>
      <c r="R23" s="3"/>
      <c r="S23" s="3"/>
      <c r="T23" s="4">
        <f t="shared" si="5"/>
        <v>0</v>
      </c>
      <c r="U23" s="3"/>
      <c r="V23" s="3"/>
      <c r="W23" s="4">
        <f t="shared" si="6"/>
        <v>0</v>
      </c>
      <c r="X23" s="3"/>
      <c r="Y23" s="3"/>
      <c r="Z23" s="4">
        <f t="shared" si="7"/>
        <v>0</v>
      </c>
      <c r="AA23" s="3"/>
      <c r="AB23" s="4"/>
      <c r="AC23" s="4">
        <f t="shared" si="8"/>
        <v>0</v>
      </c>
      <c r="AD23" s="3"/>
      <c r="AE23" s="3"/>
      <c r="AF23" s="4">
        <f t="shared" si="9"/>
        <v>0</v>
      </c>
      <c r="AG23" s="3"/>
      <c r="AH23" s="3"/>
      <c r="AI23" s="4">
        <f t="shared" si="10"/>
        <v>0</v>
      </c>
      <c r="AJ23" s="3"/>
      <c r="AK23" s="3"/>
      <c r="AL23" s="4">
        <f t="shared" si="11"/>
        <v>0</v>
      </c>
      <c r="AM23" s="4">
        <f t="shared" si="13"/>
        <v>0</v>
      </c>
      <c r="AN23" s="4">
        <f t="shared" si="14"/>
        <v>0</v>
      </c>
      <c r="AO23" s="4">
        <f t="shared" si="12"/>
        <v>0</v>
      </c>
    </row>
    <row r="24" spans="1:41" ht="20.100000000000001" customHeight="1">
      <c r="A24" s="3"/>
      <c r="B24" s="3"/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8"/>
      <c r="P24" s="3"/>
      <c r="Q24" s="4">
        <f t="shared" si="4"/>
        <v>0</v>
      </c>
      <c r="R24" s="3"/>
      <c r="S24" s="3"/>
      <c r="T24" s="4">
        <f t="shared" si="5"/>
        <v>0</v>
      </c>
      <c r="U24" s="3"/>
      <c r="V24" s="3"/>
      <c r="W24" s="4">
        <f t="shared" si="6"/>
        <v>0</v>
      </c>
      <c r="X24" s="3"/>
      <c r="Y24" s="3"/>
      <c r="Z24" s="4">
        <f t="shared" si="7"/>
        <v>0</v>
      </c>
      <c r="AA24" s="3"/>
      <c r="AB24" s="4"/>
      <c r="AC24" s="4">
        <f t="shared" si="8"/>
        <v>0</v>
      </c>
      <c r="AD24" s="3"/>
      <c r="AE24" s="3"/>
      <c r="AF24" s="4">
        <f t="shared" si="9"/>
        <v>0</v>
      </c>
      <c r="AG24" s="3"/>
      <c r="AH24" s="3"/>
      <c r="AI24" s="4">
        <f t="shared" si="10"/>
        <v>0</v>
      </c>
      <c r="AJ24" s="3"/>
      <c r="AK24" s="3"/>
      <c r="AL24" s="4">
        <f t="shared" si="11"/>
        <v>0</v>
      </c>
      <c r="AM24" s="4">
        <f t="shared" si="13"/>
        <v>0</v>
      </c>
      <c r="AN24" s="4">
        <f t="shared" si="14"/>
        <v>0</v>
      </c>
      <c r="AO24" s="4">
        <f t="shared" si="12"/>
        <v>0</v>
      </c>
    </row>
    <row r="25" spans="1:41" ht="34.5" customHeight="1">
      <c r="A25" s="6"/>
      <c r="B25" s="5"/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8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3"/>
        <v>0</v>
      </c>
      <c r="AN25" s="4">
        <f t="shared" si="14"/>
        <v>0</v>
      </c>
      <c r="AO25" s="4">
        <f t="shared" si="12"/>
        <v>0</v>
      </c>
    </row>
    <row r="26" spans="1:41" ht="20.100000000000001" customHeight="1">
      <c r="A26" s="3"/>
      <c r="B26" s="3"/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8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3"/>
        <v>0</v>
      </c>
      <c r="AN26" s="4">
        <f t="shared" si="14"/>
        <v>0</v>
      </c>
      <c r="AO26" s="4">
        <f t="shared" si="12"/>
        <v>0</v>
      </c>
    </row>
    <row r="27" spans="1:41" ht="20.100000000000001" customHeight="1">
      <c r="A27" s="3"/>
      <c r="B27" s="3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8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3"/>
        <v>0</v>
      </c>
      <c r="AN27" s="4">
        <f t="shared" si="14"/>
        <v>0</v>
      </c>
      <c r="AO27" s="4">
        <f t="shared" si="12"/>
        <v>0</v>
      </c>
    </row>
    <row r="28" spans="1:41" ht="33.75" customHeight="1">
      <c r="A28" s="7"/>
      <c r="B28" s="7"/>
      <c r="C28" s="8">
        <f>SUM(C10:C26)</f>
        <v>0</v>
      </c>
      <c r="D28" s="8">
        <f t="shared" ref="D28:AO28" si="15">SUM(D10:D26)</f>
        <v>0</v>
      </c>
      <c r="E28" s="8">
        <f t="shared" si="15"/>
        <v>0</v>
      </c>
      <c r="F28" s="8">
        <f t="shared" si="15"/>
        <v>0</v>
      </c>
      <c r="G28" s="8">
        <f t="shared" si="15"/>
        <v>0</v>
      </c>
      <c r="H28" s="8">
        <f t="shared" si="15"/>
        <v>0</v>
      </c>
      <c r="I28" s="8">
        <f t="shared" si="15"/>
        <v>0</v>
      </c>
      <c r="J28" s="8">
        <f t="shared" si="15"/>
        <v>0</v>
      </c>
      <c r="K28" s="8">
        <f>J28+I28</f>
        <v>0</v>
      </c>
      <c r="L28" s="8">
        <f t="shared" si="15"/>
        <v>0</v>
      </c>
      <c r="M28" s="8">
        <f t="shared" si="15"/>
        <v>0</v>
      </c>
      <c r="N28" s="8">
        <f>M28+L28</f>
        <v>0</v>
      </c>
      <c r="O28" s="8">
        <f t="shared" si="15"/>
        <v>0</v>
      </c>
      <c r="P28" s="8">
        <f t="shared" si="15"/>
        <v>0</v>
      </c>
      <c r="Q28" s="8">
        <f>P28+O28</f>
        <v>0</v>
      </c>
      <c r="R28" s="8">
        <f t="shared" si="15"/>
        <v>0</v>
      </c>
      <c r="S28" s="8">
        <f t="shared" si="15"/>
        <v>0</v>
      </c>
      <c r="T28" s="8">
        <f>S28+R28</f>
        <v>0</v>
      </c>
      <c r="U28" s="8">
        <f t="shared" si="15"/>
        <v>0</v>
      </c>
      <c r="V28" s="8">
        <f t="shared" si="15"/>
        <v>0</v>
      </c>
      <c r="W28" s="8">
        <f>V28+U28</f>
        <v>0</v>
      </c>
      <c r="X28" s="8">
        <f t="shared" si="15"/>
        <v>0</v>
      </c>
      <c r="Y28" s="8">
        <f t="shared" si="15"/>
        <v>0</v>
      </c>
      <c r="Z28" s="8">
        <f t="shared" si="7"/>
        <v>0</v>
      </c>
      <c r="AA28" s="8">
        <f t="shared" si="15"/>
        <v>0</v>
      </c>
      <c r="AB28" s="8">
        <f t="shared" si="15"/>
        <v>0</v>
      </c>
      <c r="AC28" s="8">
        <f>AB28+AA28</f>
        <v>0</v>
      </c>
      <c r="AD28" s="8">
        <f t="shared" si="15"/>
        <v>0</v>
      </c>
      <c r="AE28" s="8">
        <f t="shared" si="15"/>
        <v>0</v>
      </c>
      <c r="AF28" s="8">
        <f>AE28+AD28</f>
        <v>0</v>
      </c>
      <c r="AG28" s="8">
        <f t="shared" si="15"/>
        <v>0</v>
      </c>
      <c r="AH28" s="8">
        <f t="shared" si="15"/>
        <v>0</v>
      </c>
      <c r="AI28" s="8">
        <f>AH28+AG28</f>
        <v>0</v>
      </c>
      <c r="AJ28" s="8">
        <f t="shared" si="15"/>
        <v>0</v>
      </c>
      <c r="AK28" s="8">
        <f t="shared" si="15"/>
        <v>0</v>
      </c>
      <c r="AL28" s="8">
        <f>AK28+AJ28</f>
        <v>0</v>
      </c>
      <c r="AM28" s="8">
        <f t="shared" si="15"/>
        <v>0</v>
      </c>
      <c r="AN28" s="8">
        <f t="shared" si="15"/>
        <v>0</v>
      </c>
      <c r="AO28" s="8">
        <f t="shared" si="15"/>
        <v>0</v>
      </c>
    </row>
    <row r="31" spans="1:41" ht="17.399999999999999">
      <c r="A31" s="12" t="s">
        <v>38</v>
      </c>
      <c r="B31" s="12"/>
      <c r="C31" s="2"/>
      <c r="D31" s="2"/>
      <c r="E31" s="2"/>
      <c r="F31" s="2"/>
      <c r="G31" s="2"/>
      <c r="H31" s="2"/>
      <c r="I31" s="2"/>
    </row>
    <row r="33" spans="1:1">
      <c r="A33" t="s">
        <v>39</v>
      </c>
    </row>
  </sheetData>
  <mergeCells count="17">
    <mergeCell ref="AM8:AO8"/>
    <mergeCell ref="U8:W8"/>
    <mergeCell ref="X8:Z8"/>
    <mergeCell ref="AA8:AC8"/>
    <mergeCell ref="AD8:AF8"/>
    <mergeCell ref="AG8:AI8"/>
    <mergeCell ref="AJ8:AL8"/>
    <mergeCell ref="A5:O5"/>
    <mergeCell ref="A6:O6"/>
    <mergeCell ref="A7:T7"/>
    <mergeCell ref="A8:B8"/>
    <mergeCell ref="C8:E8"/>
    <mergeCell ref="F8:H8"/>
    <mergeCell ref="I8:K8"/>
    <mergeCell ref="L8:N8"/>
    <mergeCell ref="O8:Q8"/>
    <mergeCell ref="R8:T8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O33"/>
  <sheetViews>
    <sheetView workbookViewId="0">
      <pane xSplit="2" ySplit="9" topLeftCell="W19" activePane="bottomRight" state="frozen"/>
      <selection pane="topRight" activeCell="C1" sqref="C1"/>
      <selection pane="bottomLeft" activeCell="A10" sqref="A10"/>
      <selection pane="bottomRight" activeCell="AB26" sqref="AB26"/>
    </sheetView>
  </sheetViews>
  <sheetFormatPr defaultRowHeight="14.4"/>
  <cols>
    <col min="1" max="1" width="5.88671875" customWidth="1"/>
    <col min="2" max="2" width="42.88671875" customWidth="1"/>
    <col min="3" max="3" width="11.88671875" customWidth="1"/>
    <col min="4" max="4" width="10.88671875" customWidth="1"/>
    <col min="5" max="6" width="11.6640625" customWidth="1"/>
    <col min="7" max="7" width="10.5546875" customWidth="1"/>
    <col min="8" max="9" width="11.109375" customWidth="1"/>
    <col min="10" max="10" width="10.88671875" customWidth="1"/>
    <col min="11" max="11" width="11.5546875" customWidth="1"/>
    <col min="12" max="12" width="12.44140625" customWidth="1"/>
    <col min="13" max="14" width="10.6640625" customWidth="1"/>
    <col min="15" max="15" width="13.5546875" customWidth="1"/>
    <col min="16" max="16" width="11.109375" customWidth="1"/>
    <col min="17" max="17" width="10.6640625" customWidth="1"/>
    <col min="18" max="18" width="11.44140625" customWidth="1"/>
    <col min="19" max="19" width="11.109375" customWidth="1"/>
    <col min="20" max="20" width="11.33203125" customWidth="1"/>
    <col min="21" max="21" width="12.33203125" customWidth="1"/>
    <col min="22" max="23" width="10.44140625" customWidth="1"/>
    <col min="24" max="24" width="11.44140625" customWidth="1"/>
    <col min="25" max="25" width="11.88671875" customWidth="1"/>
    <col min="26" max="26" width="10.44140625" customWidth="1"/>
    <col min="27" max="27" width="11.44140625" customWidth="1"/>
    <col min="28" max="28" width="11" customWidth="1"/>
    <col min="29" max="29" width="11.88671875" customWidth="1"/>
    <col min="30" max="30" width="11.44140625" customWidth="1"/>
    <col min="31" max="31" width="11.5546875" customWidth="1"/>
    <col min="32" max="32" width="10.44140625" customWidth="1"/>
    <col min="33" max="33" width="11.33203125" customWidth="1"/>
    <col min="34" max="34" width="12.44140625" customWidth="1"/>
    <col min="35" max="35" width="12.6640625" customWidth="1"/>
    <col min="36" max="36" width="11.88671875" customWidth="1"/>
    <col min="37" max="37" width="11.109375" customWidth="1"/>
    <col min="38" max="38" width="11.5546875" customWidth="1"/>
    <col min="39" max="39" width="12.6640625" customWidth="1"/>
    <col min="40" max="40" width="11.6640625" customWidth="1"/>
    <col min="41" max="41" width="12" customWidth="1"/>
  </cols>
  <sheetData>
    <row r="1" spans="1:41" ht="11.25" customHeight="1">
      <c r="L1" s="1"/>
      <c r="M1" s="1"/>
      <c r="N1" s="1"/>
      <c r="O1" s="1"/>
      <c r="R1" s="1" t="s">
        <v>34</v>
      </c>
      <c r="S1" s="1"/>
      <c r="T1" s="1"/>
    </row>
    <row r="2" spans="1:41" ht="9.75" customHeight="1">
      <c r="L2" s="1"/>
      <c r="M2" s="1"/>
      <c r="N2" s="1"/>
      <c r="O2" s="1"/>
      <c r="R2" s="1" t="s">
        <v>31</v>
      </c>
      <c r="S2" s="1"/>
      <c r="T2" s="1"/>
    </row>
    <row r="3" spans="1:41" ht="10.5" customHeight="1">
      <c r="L3" s="1"/>
      <c r="M3" s="1"/>
      <c r="N3" s="1"/>
      <c r="O3" s="1"/>
      <c r="R3" s="1" t="s">
        <v>32</v>
      </c>
      <c r="S3" s="1"/>
      <c r="T3" s="1"/>
    </row>
    <row r="4" spans="1:41" ht="11.25" customHeight="1">
      <c r="L4" s="1"/>
      <c r="M4" s="1"/>
      <c r="N4" s="1"/>
      <c r="O4" s="1"/>
      <c r="R4" s="1" t="s">
        <v>33</v>
      </c>
      <c r="S4" s="1"/>
      <c r="T4" s="1"/>
    </row>
    <row r="5" spans="1:41" ht="19.5" customHeight="1">
      <c r="A5" s="54" t="s">
        <v>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41" ht="19.5" customHeight="1">
      <c r="A6" s="54" t="s">
        <v>59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41" ht="19.5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41" ht="35.25" customHeight="1">
      <c r="A8" s="52"/>
      <c r="B8" s="53"/>
      <c r="C8" s="52" t="s">
        <v>17</v>
      </c>
      <c r="D8" s="55"/>
      <c r="E8" s="53"/>
      <c r="F8" s="52" t="s">
        <v>18</v>
      </c>
      <c r="G8" s="55"/>
      <c r="H8" s="53"/>
      <c r="I8" s="52" t="s">
        <v>19</v>
      </c>
      <c r="J8" s="55"/>
      <c r="K8" s="53"/>
      <c r="L8" s="52" t="s">
        <v>20</v>
      </c>
      <c r="M8" s="55"/>
      <c r="N8" s="53"/>
      <c r="O8" s="52" t="s">
        <v>21</v>
      </c>
      <c r="P8" s="55"/>
      <c r="Q8" s="53"/>
      <c r="R8" s="49" t="s">
        <v>22</v>
      </c>
      <c r="S8" s="50"/>
      <c r="T8" s="51"/>
      <c r="U8" s="49" t="s">
        <v>23</v>
      </c>
      <c r="V8" s="50"/>
      <c r="W8" s="51"/>
      <c r="X8" s="49" t="s">
        <v>24</v>
      </c>
      <c r="Y8" s="50"/>
      <c r="Z8" s="51"/>
      <c r="AA8" s="49" t="s">
        <v>25</v>
      </c>
      <c r="AB8" s="50"/>
      <c r="AC8" s="51"/>
      <c r="AD8" s="49" t="s">
        <v>26</v>
      </c>
      <c r="AE8" s="50"/>
      <c r="AF8" s="51"/>
      <c r="AG8" s="49" t="s">
        <v>27</v>
      </c>
      <c r="AH8" s="50"/>
      <c r="AI8" s="51"/>
      <c r="AJ8" s="49" t="s">
        <v>28</v>
      </c>
      <c r="AK8" s="50"/>
      <c r="AL8" s="51"/>
      <c r="AM8" s="49" t="s">
        <v>29</v>
      </c>
      <c r="AN8" s="50"/>
      <c r="AO8" s="51"/>
    </row>
    <row r="9" spans="1:41" s="13" customFormat="1" ht="24" customHeight="1">
      <c r="A9" s="10"/>
      <c r="B9" s="11"/>
      <c r="C9" s="9" t="s">
        <v>36</v>
      </c>
      <c r="D9" s="9" t="s">
        <v>43</v>
      </c>
      <c r="E9" s="9" t="s">
        <v>37</v>
      </c>
      <c r="F9" s="9" t="s">
        <v>36</v>
      </c>
      <c r="G9" s="9" t="s">
        <v>43</v>
      </c>
      <c r="H9" s="9" t="s">
        <v>37</v>
      </c>
      <c r="I9" s="9" t="s">
        <v>36</v>
      </c>
      <c r="J9" s="9" t="s">
        <v>43</v>
      </c>
      <c r="K9" s="9" t="s">
        <v>37</v>
      </c>
      <c r="L9" s="9" t="s">
        <v>36</v>
      </c>
      <c r="M9" s="9" t="s">
        <v>43</v>
      </c>
      <c r="N9" s="9" t="s">
        <v>37</v>
      </c>
      <c r="O9" s="9" t="s">
        <v>36</v>
      </c>
      <c r="P9" s="9" t="s">
        <v>43</v>
      </c>
      <c r="Q9" s="9" t="s">
        <v>37</v>
      </c>
      <c r="R9" s="9" t="s">
        <v>36</v>
      </c>
      <c r="S9" s="9" t="s">
        <v>43</v>
      </c>
      <c r="T9" s="9" t="s">
        <v>37</v>
      </c>
      <c r="U9" s="9" t="s">
        <v>36</v>
      </c>
      <c r="V9" s="9" t="s">
        <v>43</v>
      </c>
      <c r="W9" s="9" t="s">
        <v>37</v>
      </c>
      <c r="X9" s="9" t="s">
        <v>36</v>
      </c>
      <c r="Y9" s="9" t="s">
        <v>43</v>
      </c>
      <c r="Z9" s="9" t="s">
        <v>37</v>
      </c>
      <c r="AA9" s="9" t="s">
        <v>36</v>
      </c>
      <c r="AB9" s="9" t="s">
        <v>43</v>
      </c>
      <c r="AC9" s="9" t="s">
        <v>37</v>
      </c>
      <c r="AD9" s="9" t="s">
        <v>36</v>
      </c>
      <c r="AE9" s="9" t="s">
        <v>43</v>
      </c>
      <c r="AF9" s="9" t="s">
        <v>37</v>
      </c>
      <c r="AG9" s="9" t="s">
        <v>36</v>
      </c>
      <c r="AH9" s="9" t="s">
        <v>43</v>
      </c>
      <c r="AI9" s="9" t="s">
        <v>37</v>
      </c>
      <c r="AJ9" s="9" t="s">
        <v>36</v>
      </c>
      <c r="AK9" s="9" t="s">
        <v>43</v>
      </c>
      <c r="AL9" s="9" t="s">
        <v>37</v>
      </c>
      <c r="AM9" s="9" t="s">
        <v>36</v>
      </c>
      <c r="AN9" s="9" t="s">
        <v>43</v>
      </c>
      <c r="AO9" s="9" t="s">
        <v>37</v>
      </c>
    </row>
    <row r="10" spans="1:41" ht="20.100000000000001" customHeight="1">
      <c r="A10" s="3"/>
      <c r="B10" s="3"/>
      <c r="C10" s="4"/>
      <c r="D10" s="4"/>
      <c r="E10" s="4">
        <f>D10+C10</f>
        <v>0</v>
      </c>
      <c r="F10" s="4"/>
      <c r="G10" s="4"/>
      <c r="H10" s="4">
        <f>G10+F10</f>
        <v>0</v>
      </c>
      <c r="I10" s="4"/>
      <c r="J10" s="4"/>
      <c r="K10" s="4">
        <f>J10+I10</f>
        <v>0</v>
      </c>
      <c r="L10" s="4"/>
      <c r="M10" s="4"/>
      <c r="N10" s="4">
        <f>M10+L10</f>
        <v>0</v>
      </c>
      <c r="O10" s="4"/>
      <c r="P10" s="3"/>
      <c r="Q10" s="4">
        <f>P10+O10</f>
        <v>0</v>
      </c>
      <c r="R10" s="3"/>
      <c r="S10" s="3"/>
      <c r="T10" s="4">
        <f>S10+R10</f>
        <v>0</v>
      </c>
      <c r="U10" s="3"/>
      <c r="V10" s="3"/>
      <c r="W10" s="4">
        <f>V10+U10</f>
        <v>0</v>
      </c>
      <c r="X10" s="3"/>
      <c r="Y10" s="3"/>
      <c r="Z10" s="4">
        <f>Y10+X10</f>
        <v>0</v>
      </c>
      <c r="AA10" s="3"/>
      <c r="AB10" s="3"/>
      <c r="AC10" s="4">
        <f>AB10+AA10</f>
        <v>0</v>
      </c>
      <c r="AD10" s="3"/>
      <c r="AE10" s="3"/>
      <c r="AF10" s="4">
        <f>AE10+AD10</f>
        <v>0</v>
      </c>
      <c r="AG10" s="3"/>
      <c r="AH10" s="3"/>
      <c r="AI10" s="4">
        <f>AH10+AG10</f>
        <v>0</v>
      </c>
      <c r="AJ10" s="3"/>
      <c r="AK10" s="3"/>
      <c r="AL10" s="4">
        <f>AK10+AJ10</f>
        <v>0</v>
      </c>
      <c r="AM10" s="4">
        <f>AJ10+AG10+AD10+AA10+X10+U10+R10+O10+L10+I10+F10+C10</f>
        <v>0</v>
      </c>
      <c r="AN10" s="4">
        <f>AK10+AH10+AE10+AB10+Y10+V10+S10+P10+M10+J10+G10+D10</f>
        <v>0</v>
      </c>
      <c r="AO10" s="4">
        <f>AL10+AI10+AF10+AC10+Z10+W10+T10+Q10+N10+K10+H10+E10</f>
        <v>0</v>
      </c>
    </row>
    <row r="11" spans="1:41" ht="20.100000000000001" customHeight="1">
      <c r="A11" s="3"/>
      <c r="B11" s="3"/>
      <c r="C11" s="4"/>
      <c r="D11" s="4"/>
      <c r="E11" s="4">
        <f t="shared" ref="E11:E27" si="0">D11+C11</f>
        <v>0</v>
      </c>
      <c r="F11" s="4"/>
      <c r="G11" s="4"/>
      <c r="H11" s="4">
        <f t="shared" ref="H11:H27" si="1">G11+F11</f>
        <v>0</v>
      </c>
      <c r="I11" s="4"/>
      <c r="J11" s="4"/>
      <c r="K11" s="4">
        <f t="shared" ref="K11:K27" si="2">J11+I11</f>
        <v>0</v>
      </c>
      <c r="L11" s="4"/>
      <c r="M11" s="4"/>
      <c r="N11" s="4">
        <f t="shared" ref="N11:N27" si="3">M11+L11</f>
        <v>0</v>
      </c>
      <c r="O11" s="4"/>
      <c r="P11" s="3"/>
      <c r="Q11" s="4">
        <f t="shared" ref="Q11:Q27" si="4">P11+O11</f>
        <v>0</v>
      </c>
      <c r="R11" s="3"/>
      <c r="S11" s="3"/>
      <c r="T11" s="4">
        <f t="shared" ref="T11:T27" si="5">S11+R11</f>
        <v>0</v>
      </c>
      <c r="U11" s="3"/>
      <c r="V11" s="3"/>
      <c r="W11" s="4">
        <f t="shared" ref="W11:W27" si="6">V11+U11</f>
        <v>0</v>
      </c>
      <c r="X11" s="3"/>
      <c r="Y11" s="3"/>
      <c r="Z11" s="4">
        <f t="shared" ref="Z11:Z28" si="7">Y11+X11</f>
        <v>0</v>
      </c>
      <c r="AA11" s="3"/>
      <c r="AB11" s="3"/>
      <c r="AC11" s="4">
        <f t="shared" ref="AC11:AC27" si="8">AB11+AA11</f>
        <v>0</v>
      </c>
      <c r="AD11" s="3"/>
      <c r="AE11" s="3"/>
      <c r="AF11" s="4">
        <f t="shared" ref="AF11:AF27" si="9">AE11+AD11</f>
        <v>0</v>
      </c>
      <c r="AG11" s="3"/>
      <c r="AH11" s="3"/>
      <c r="AI11" s="4">
        <f t="shared" ref="AI11:AI27" si="10">AH11+AG11</f>
        <v>0</v>
      </c>
      <c r="AJ11" s="3"/>
      <c r="AK11" s="3"/>
      <c r="AL11" s="4">
        <f t="shared" ref="AL11:AL27" si="11">AK11+AJ11</f>
        <v>0</v>
      </c>
      <c r="AM11" s="4">
        <f t="shared" ref="AM11:AM27" si="12">AJ11+AG11+AD11+AA11+X11+U11+R11+O11+L11+I11+F11+C11</f>
        <v>0</v>
      </c>
      <c r="AN11" s="4">
        <f t="shared" ref="AN11:AN27" si="13">AK11+AH11+AE11+AB11+Y11+V11+S11+P11+M11+J11+G11+D11</f>
        <v>0</v>
      </c>
      <c r="AO11" s="4">
        <f t="shared" ref="AO11:AO27" si="14">AL11+AI11+AF11+AC11+Z11+W11+T11+Q11+N11+K11+H11+E11</f>
        <v>0</v>
      </c>
    </row>
    <row r="12" spans="1:41" ht="20.100000000000001" customHeight="1">
      <c r="A12" s="3"/>
      <c r="B12" s="3"/>
      <c r="C12" s="4"/>
      <c r="D12" s="4"/>
      <c r="E12" s="4">
        <f t="shared" si="0"/>
        <v>0</v>
      </c>
      <c r="F12" s="4"/>
      <c r="G12" s="4"/>
      <c r="H12" s="4">
        <f t="shared" si="1"/>
        <v>0</v>
      </c>
      <c r="I12" s="4"/>
      <c r="J12" s="4"/>
      <c r="K12" s="4">
        <f t="shared" si="2"/>
        <v>0</v>
      </c>
      <c r="L12" s="4"/>
      <c r="M12" s="4"/>
      <c r="N12" s="4">
        <f t="shared" si="3"/>
        <v>0</v>
      </c>
      <c r="O12" s="8"/>
      <c r="P12" s="3"/>
      <c r="Q12" s="4">
        <f t="shared" si="4"/>
        <v>0</v>
      </c>
      <c r="R12" s="3"/>
      <c r="S12" s="3"/>
      <c r="T12" s="4">
        <f t="shared" si="5"/>
        <v>0</v>
      </c>
      <c r="U12" s="3"/>
      <c r="V12" s="3"/>
      <c r="W12" s="4">
        <f t="shared" si="6"/>
        <v>0</v>
      </c>
      <c r="X12" s="3"/>
      <c r="Y12" s="3"/>
      <c r="Z12" s="4">
        <f t="shared" si="7"/>
        <v>0</v>
      </c>
      <c r="AA12" s="3"/>
      <c r="AB12" s="3"/>
      <c r="AC12" s="4">
        <f t="shared" si="8"/>
        <v>0</v>
      </c>
      <c r="AD12" s="3"/>
      <c r="AE12" s="4"/>
      <c r="AF12" s="4">
        <f t="shared" si="9"/>
        <v>0</v>
      </c>
      <c r="AG12" s="3"/>
      <c r="AH12" s="3"/>
      <c r="AI12" s="4">
        <f t="shared" si="10"/>
        <v>0</v>
      </c>
      <c r="AJ12" s="3"/>
      <c r="AK12" s="3"/>
      <c r="AL12" s="4">
        <f t="shared" si="11"/>
        <v>0</v>
      </c>
      <c r="AM12" s="4">
        <f t="shared" si="12"/>
        <v>0</v>
      </c>
      <c r="AN12" s="4">
        <f t="shared" si="13"/>
        <v>0</v>
      </c>
      <c r="AO12" s="4">
        <f t="shared" si="14"/>
        <v>0</v>
      </c>
    </row>
    <row r="13" spans="1:41" ht="20.100000000000001" customHeight="1">
      <c r="A13" s="3"/>
      <c r="B13" s="3"/>
      <c r="C13" s="4"/>
      <c r="D13" s="4"/>
      <c r="E13" s="4">
        <f t="shared" si="0"/>
        <v>0</v>
      </c>
      <c r="F13" s="4"/>
      <c r="G13" s="4"/>
      <c r="H13" s="4">
        <f t="shared" si="1"/>
        <v>0</v>
      </c>
      <c r="I13" s="4"/>
      <c r="J13" s="4"/>
      <c r="K13" s="4">
        <f t="shared" si="2"/>
        <v>0</v>
      </c>
      <c r="L13" s="4"/>
      <c r="M13" s="4"/>
      <c r="N13" s="4">
        <f t="shared" si="3"/>
        <v>0</v>
      </c>
      <c r="O13" s="8"/>
      <c r="P13" s="3"/>
      <c r="Q13" s="4">
        <f t="shared" si="4"/>
        <v>0</v>
      </c>
      <c r="R13" s="3"/>
      <c r="S13" s="3"/>
      <c r="T13" s="4">
        <f t="shared" si="5"/>
        <v>0</v>
      </c>
      <c r="U13" s="3"/>
      <c r="V13" s="3"/>
      <c r="W13" s="4">
        <f t="shared" si="6"/>
        <v>0</v>
      </c>
      <c r="X13" s="3"/>
      <c r="Y13" s="3"/>
      <c r="Z13" s="4">
        <f t="shared" si="7"/>
        <v>0</v>
      </c>
      <c r="AA13" s="3"/>
      <c r="AB13" s="3"/>
      <c r="AC13" s="4">
        <f t="shared" si="8"/>
        <v>0</v>
      </c>
      <c r="AD13" s="3"/>
      <c r="AE13" s="3"/>
      <c r="AF13" s="4">
        <f t="shared" si="9"/>
        <v>0</v>
      </c>
      <c r="AG13" s="3"/>
      <c r="AH13" s="3"/>
      <c r="AI13" s="4">
        <f t="shared" si="10"/>
        <v>0</v>
      </c>
      <c r="AJ13" s="3"/>
      <c r="AK13" s="3"/>
      <c r="AL13" s="4">
        <f t="shared" si="11"/>
        <v>0</v>
      </c>
      <c r="AM13" s="4">
        <f t="shared" si="12"/>
        <v>0</v>
      </c>
      <c r="AN13" s="4">
        <f t="shared" si="13"/>
        <v>0</v>
      </c>
      <c r="AO13" s="4">
        <f t="shared" si="14"/>
        <v>0</v>
      </c>
    </row>
    <row r="14" spans="1:41" ht="20.100000000000001" customHeight="1">
      <c r="A14" s="3"/>
      <c r="B14" s="3"/>
      <c r="C14" s="4"/>
      <c r="D14" s="4"/>
      <c r="E14" s="4">
        <f t="shared" si="0"/>
        <v>0</v>
      </c>
      <c r="F14" s="4"/>
      <c r="G14" s="4"/>
      <c r="H14" s="4">
        <f t="shared" si="1"/>
        <v>0</v>
      </c>
      <c r="I14" s="4"/>
      <c r="J14" s="4"/>
      <c r="K14" s="4">
        <f t="shared" si="2"/>
        <v>0</v>
      </c>
      <c r="L14" s="4"/>
      <c r="M14" s="4"/>
      <c r="N14" s="4">
        <f t="shared" si="3"/>
        <v>0</v>
      </c>
      <c r="O14" s="4"/>
      <c r="P14" s="4"/>
      <c r="Q14" s="4">
        <f t="shared" si="4"/>
        <v>0</v>
      </c>
      <c r="R14" s="3"/>
      <c r="S14" s="3"/>
      <c r="T14" s="4">
        <f t="shared" si="5"/>
        <v>0</v>
      </c>
      <c r="U14" s="3"/>
      <c r="V14" s="3"/>
      <c r="W14" s="4">
        <f t="shared" si="6"/>
        <v>0</v>
      </c>
      <c r="X14" s="3"/>
      <c r="Y14" s="3"/>
      <c r="Z14" s="4">
        <f t="shared" si="7"/>
        <v>0</v>
      </c>
      <c r="AA14" s="3"/>
      <c r="AB14" s="4"/>
      <c r="AC14" s="4">
        <f t="shared" si="8"/>
        <v>0</v>
      </c>
      <c r="AD14" s="3"/>
      <c r="AE14" s="4"/>
      <c r="AF14" s="4">
        <f t="shared" si="9"/>
        <v>0</v>
      </c>
      <c r="AG14" s="3"/>
      <c r="AH14" s="3"/>
      <c r="AI14" s="4">
        <f t="shared" si="10"/>
        <v>0</v>
      </c>
      <c r="AJ14" s="3"/>
      <c r="AK14" s="4"/>
      <c r="AL14" s="4">
        <f t="shared" si="11"/>
        <v>0</v>
      </c>
      <c r="AM14" s="4">
        <f t="shared" si="12"/>
        <v>0</v>
      </c>
      <c r="AN14" s="4">
        <f t="shared" si="13"/>
        <v>0</v>
      </c>
      <c r="AO14" s="4">
        <f t="shared" si="14"/>
        <v>0</v>
      </c>
    </row>
    <row r="15" spans="1:41" ht="20.100000000000001" customHeight="1">
      <c r="A15" s="3"/>
      <c r="B15" s="3"/>
      <c r="C15" s="4"/>
      <c r="D15" s="4"/>
      <c r="E15" s="4">
        <f t="shared" si="0"/>
        <v>0</v>
      </c>
      <c r="F15" s="4"/>
      <c r="G15" s="4"/>
      <c r="H15" s="4">
        <f t="shared" si="1"/>
        <v>0</v>
      </c>
      <c r="I15" s="4"/>
      <c r="J15" s="4"/>
      <c r="K15" s="4">
        <f t="shared" si="2"/>
        <v>0</v>
      </c>
      <c r="L15" s="4"/>
      <c r="M15" s="4"/>
      <c r="N15" s="4">
        <f t="shared" si="3"/>
        <v>0</v>
      </c>
      <c r="O15" s="4"/>
      <c r="P15" s="3"/>
      <c r="Q15" s="4">
        <f t="shared" si="4"/>
        <v>0</v>
      </c>
      <c r="R15" s="3"/>
      <c r="S15" s="3"/>
      <c r="T15" s="4">
        <f t="shared" si="5"/>
        <v>0</v>
      </c>
      <c r="U15" s="3"/>
      <c r="V15" s="3"/>
      <c r="W15" s="4">
        <f t="shared" si="6"/>
        <v>0</v>
      </c>
      <c r="X15" s="3"/>
      <c r="Y15" s="3"/>
      <c r="Z15" s="4">
        <f t="shared" si="7"/>
        <v>0</v>
      </c>
      <c r="AA15" s="3"/>
      <c r="AB15" s="3"/>
      <c r="AC15" s="4">
        <f t="shared" si="8"/>
        <v>0</v>
      </c>
      <c r="AD15" s="3"/>
      <c r="AE15" s="3"/>
      <c r="AF15" s="4">
        <f t="shared" si="9"/>
        <v>0</v>
      </c>
      <c r="AG15" s="3"/>
      <c r="AH15" s="3"/>
      <c r="AI15" s="4">
        <f t="shared" si="10"/>
        <v>0</v>
      </c>
      <c r="AJ15" s="3"/>
      <c r="AK15" s="3"/>
      <c r="AL15" s="4">
        <f t="shared" si="11"/>
        <v>0</v>
      </c>
      <c r="AM15" s="4">
        <f t="shared" si="12"/>
        <v>0</v>
      </c>
      <c r="AN15" s="4">
        <f t="shared" si="13"/>
        <v>0</v>
      </c>
      <c r="AO15" s="4">
        <f t="shared" si="14"/>
        <v>0</v>
      </c>
    </row>
    <row r="16" spans="1:41" ht="20.100000000000001" customHeight="1">
      <c r="A16" s="3"/>
      <c r="B16" s="3"/>
      <c r="C16" s="4"/>
      <c r="D16" s="4"/>
      <c r="E16" s="4">
        <f t="shared" si="0"/>
        <v>0</v>
      </c>
      <c r="F16" s="4"/>
      <c r="G16" s="4"/>
      <c r="H16" s="4">
        <f t="shared" si="1"/>
        <v>0</v>
      </c>
      <c r="I16" s="4"/>
      <c r="J16" s="4"/>
      <c r="K16" s="4">
        <f t="shared" si="2"/>
        <v>0</v>
      </c>
      <c r="L16" s="4"/>
      <c r="M16" s="4"/>
      <c r="N16" s="4">
        <f t="shared" si="3"/>
        <v>0</v>
      </c>
      <c r="O16" s="4"/>
      <c r="P16" s="3"/>
      <c r="Q16" s="4">
        <f t="shared" si="4"/>
        <v>0</v>
      </c>
      <c r="R16" s="3"/>
      <c r="S16" s="3"/>
      <c r="T16" s="4">
        <f t="shared" si="5"/>
        <v>0</v>
      </c>
      <c r="U16" s="3"/>
      <c r="V16" s="3"/>
      <c r="W16" s="4">
        <f t="shared" si="6"/>
        <v>0</v>
      </c>
      <c r="X16" s="3"/>
      <c r="Y16" s="3"/>
      <c r="Z16" s="4">
        <f t="shared" si="7"/>
        <v>0</v>
      </c>
      <c r="AA16" s="3"/>
      <c r="AB16" s="4"/>
      <c r="AC16" s="4">
        <f t="shared" si="8"/>
        <v>0</v>
      </c>
      <c r="AD16" s="3"/>
      <c r="AE16" s="3"/>
      <c r="AF16" s="4">
        <f t="shared" si="9"/>
        <v>0</v>
      </c>
      <c r="AG16" s="3"/>
      <c r="AH16" s="3"/>
      <c r="AI16" s="4">
        <f t="shared" si="10"/>
        <v>0</v>
      </c>
      <c r="AJ16" s="3"/>
      <c r="AK16" s="3"/>
      <c r="AL16" s="4">
        <f t="shared" si="11"/>
        <v>0</v>
      </c>
      <c r="AM16" s="4">
        <f t="shared" si="12"/>
        <v>0</v>
      </c>
      <c r="AN16" s="4">
        <f t="shared" si="13"/>
        <v>0</v>
      </c>
      <c r="AO16" s="4">
        <f t="shared" si="14"/>
        <v>0</v>
      </c>
    </row>
    <row r="17" spans="1:41" ht="20.100000000000001" customHeight="1">
      <c r="A17" s="3"/>
      <c r="B17" s="3"/>
      <c r="C17" s="4"/>
      <c r="D17" s="4"/>
      <c r="E17" s="4">
        <f t="shared" si="0"/>
        <v>0</v>
      </c>
      <c r="F17" s="4"/>
      <c r="G17" s="4"/>
      <c r="H17" s="4">
        <f t="shared" si="1"/>
        <v>0</v>
      </c>
      <c r="I17" s="4"/>
      <c r="J17" s="4"/>
      <c r="K17" s="4">
        <f t="shared" si="2"/>
        <v>0</v>
      </c>
      <c r="L17" s="4"/>
      <c r="M17" s="4"/>
      <c r="N17" s="4">
        <f t="shared" si="3"/>
        <v>0</v>
      </c>
      <c r="O17" s="8"/>
      <c r="P17" s="3"/>
      <c r="Q17" s="4">
        <f t="shared" si="4"/>
        <v>0</v>
      </c>
      <c r="R17" s="3"/>
      <c r="S17" s="3"/>
      <c r="T17" s="4">
        <f t="shared" si="5"/>
        <v>0</v>
      </c>
      <c r="U17" s="3"/>
      <c r="V17" s="3"/>
      <c r="W17" s="4">
        <f t="shared" si="6"/>
        <v>0</v>
      </c>
      <c r="X17" s="3"/>
      <c r="Y17" s="3"/>
      <c r="Z17" s="4">
        <f t="shared" si="7"/>
        <v>0</v>
      </c>
      <c r="AA17" s="3"/>
      <c r="AB17" s="4"/>
      <c r="AC17" s="4">
        <f t="shared" si="8"/>
        <v>0</v>
      </c>
      <c r="AD17" s="3"/>
      <c r="AE17" s="3"/>
      <c r="AF17" s="4">
        <f t="shared" si="9"/>
        <v>0</v>
      </c>
      <c r="AG17" s="3"/>
      <c r="AH17" s="3"/>
      <c r="AI17" s="4">
        <f t="shared" si="10"/>
        <v>0</v>
      </c>
      <c r="AJ17" s="3"/>
      <c r="AK17" s="3"/>
      <c r="AL17" s="4">
        <f t="shared" si="11"/>
        <v>0</v>
      </c>
      <c r="AM17" s="4">
        <f t="shared" si="12"/>
        <v>0</v>
      </c>
      <c r="AN17" s="4">
        <f t="shared" si="13"/>
        <v>0</v>
      </c>
      <c r="AO17" s="4">
        <f t="shared" si="14"/>
        <v>0</v>
      </c>
    </row>
    <row r="18" spans="1:41" ht="20.100000000000001" customHeight="1">
      <c r="A18" s="3"/>
      <c r="B18" s="3"/>
      <c r="C18" s="4"/>
      <c r="D18" s="4"/>
      <c r="E18" s="4">
        <f t="shared" si="0"/>
        <v>0</v>
      </c>
      <c r="F18" s="4"/>
      <c r="G18" s="4"/>
      <c r="H18" s="4">
        <f t="shared" si="1"/>
        <v>0</v>
      </c>
      <c r="I18" s="4"/>
      <c r="J18" s="4"/>
      <c r="K18" s="4">
        <f t="shared" si="2"/>
        <v>0</v>
      </c>
      <c r="L18" s="4"/>
      <c r="M18" s="4"/>
      <c r="N18" s="4">
        <f t="shared" si="3"/>
        <v>0</v>
      </c>
      <c r="O18" s="4"/>
      <c r="P18" s="3"/>
      <c r="Q18" s="4">
        <f t="shared" si="4"/>
        <v>0</v>
      </c>
      <c r="R18" s="3"/>
      <c r="S18" s="3"/>
      <c r="T18" s="4">
        <f t="shared" si="5"/>
        <v>0</v>
      </c>
      <c r="U18" s="3"/>
      <c r="V18" s="3"/>
      <c r="W18" s="4">
        <f t="shared" si="6"/>
        <v>0</v>
      </c>
      <c r="X18" s="3"/>
      <c r="Y18" s="3"/>
      <c r="Z18" s="4">
        <f t="shared" si="7"/>
        <v>0</v>
      </c>
      <c r="AA18" s="3"/>
      <c r="AB18" s="4"/>
      <c r="AC18" s="4">
        <f t="shared" si="8"/>
        <v>0</v>
      </c>
      <c r="AD18" s="3"/>
      <c r="AE18" s="3"/>
      <c r="AF18" s="4">
        <f t="shared" si="9"/>
        <v>0</v>
      </c>
      <c r="AG18" s="3"/>
      <c r="AH18" s="3"/>
      <c r="AI18" s="4">
        <f t="shared" si="10"/>
        <v>0</v>
      </c>
      <c r="AJ18" s="3"/>
      <c r="AK18" s="3"/>
      <c r="AL18" s="4">
        <f t="shared" si="11"/>
        <v>0</v>
      </c>
      <c r="AM18" s="4">
        <f t="shared" si="12"/>
        <v>0</v>
      </c>
      <c r="AN18" s="4">
        <f t="shared" si="13"/>
        <v>0</v>
      </c>
      <c r="AO18" s="4">
        <f t="shared" si="14"/>
        <v>0</v>
      </c>
    </row>
    <row r="19" spans="1:41" ht="20.100000000000001" customHeight="1">
      <c r="A19" s="3"/>
      <c r="B19" s="3"/>
      <c r="C19" s="4"/>
      <c r="D19" s="4"/>
      <c r="E19" s="4">
        <f t="shared" si="0"/>
        <v>0</v>
      </c>
      <c r="F19" s="4"/>
      <c r="G19" s="4"/>
      <c r="H19" s="4">
        <f t="shared" si="1"/>
        <v>0</v>
      </c>
      <c r="I19" s="4"/>
      <c r="J19" s="4"/>
      <c r="K19" s="4">
        <f t="shared" si="2"/>
        <v>0</v>
      </c>
      <c r="L19" s="4"/>
      <c r="M19" s="4"/>
      <c r="N19" s="4">
        <f t="shared" si="3"/>
        <v>0</v>
      </c>
      <c r="O19" s="4"/>
      <c r="P19" s="3"/>
      <c r="Q19" s="4">
        <f t="shared" si="4"/>
        <v>0</v>
      </c>
      <c r="R19" s="3"/>
      <c r="S19" s="3"/>
      <c r="T19" s="4">
        <f t="shared" si="5"/>
        <v>0</v>
      </c>
      <c r="U19" s="3"/>
      <c r="V19" s="3"/>
      <c r="W19" s="4">
        <f t="shared" si="6"/>
        <v>0</v>
      </c>
      <c r="X19" s="3"/>
      <c r="Y19" s="3"/>
      <c r="Z19" s="4">
        <f t="shared" si="7"/>
        <v>0</v>
      </c>
      <c r="AA19" s="3"/>
      <c r="AB19" s="3"/>
      <c r="AC19" s="4">
        <f t="shared" si="8"/>
        <v>0</v>
      </c>
      <c r="AD19" s="3"/>
      <c r="AE19" s="3"/>
      <c r="AF19" s="4">
        <f t="shared" si="9"/>
        <v>0</v>
      </c>
      <c r="AG19" s="3"/>
      <c r="AH19" s="3"/>
      <c r="AI19" s="4">
        <f t="shared" si="10"/>
        <v>0</v>
      </c>
      <c r="AJ19" s="3"/>
      <c r="AK19" s="4"/>
      <c r="AL19" s="4">
        <f t="shared" si="11"/>
        <v>0</v>
      </c>
      <c r="AM19" s="4">
        <f t="shared" si="12"/>
        <v>0</v>
      </c>
      <c r="AN19" s="4">
        <f t="shared" si="13"/>
        <v>0</v>
      </c>
      <c r="AO19" s="4">
        <f t="shared" si="14"/>
        <v>0</v>
      </c>
    </row>
    <row r="20" spans="1:41" ht="20.100000000000001" customHeight="1">
      <c r="A20" s="3"/>
      <c r="B20" s="3"/>
      <c r="C20" s="4"/>
      <c r="D20" s="4"/>
      <c r="E20" s="4">
        <f t="shared" si="0"/>
        <v>0</v>
      </c>
      <c r="F20" s="4"/>
      <c r="G20" s="4"/>
      <c r="H20" s="4">
        <f t="shared" si="1"/>
        <v>0</v>
      </c>
      <c r="I20" s="4"/>
      <c r="J20" s="4"/>
      <c r="K20" s="4">
        <f t="shared" si="2"/>
        <v>0</v>
      </c>
      <c r="L20" s="4"/>
      <c r="M20" s="4"/>
      <c r="N20" s="4">
        <f t="shared" si="3"/>
        <v>0</v>
      </c>
      <c r="O20" s="4"/>
      <c r="P20" s="3"/>
      <c r="Q20" s="4">
        <f t="shared" si="4"/>
        <v>0</v>
      </c>
      <c r="R20" s="3"/>
      <c r="S20" s="3"/>
      <c r="T20" s="4">
        <f t="shared" si="5"/>
        <v>0</v>
      </c>
      <c r="U20" s="3"/>
      <c r="V20" s="3"/>
      <c r="W20" s="4">
        <f t="shared" si="6"/>
        <v>0</v>
      </c>
      <c r="X20" s="3"/>
      <c r="Y20" s="3"/>
      <c r="Z20" s="4">
        <f t="shared" si="7"/>
        <v>0</v>
      </c>
      <c r="AA20" s="3"/>
      <c r="AB20" s="3"/>
      <c r="AC20" s="4">
        <f t="shared" si="8"/>
        <v>0</v>
      </c>
      <c r="AD20" s="3"/>
      <c r="AE20" s="3"/>
      <c r="AF20" s="4">
        <f t="shared" si="9"/>
        <v>0</v>
      </c>
      <c r="AG20" s="3"/>
      <c r="AH20" s="4"/>
      <c r="AI20" s="4">
        <f t="shared" si="10"/>
        <v>0</v>
      </c>
      <c r="AJ20" s="3"/>
      <c r="AK20" s="3"/>
      <c r="AL20" s="4">
        <f t="shared" si="11"/>
        <v>0</v>
      </c>
      <c r="AM20" s="4">
        <f t="shared" si="12"/>
        <v>0</v>
      </c>
      <c r="AN20" s="4">
        <f t="shared" si="13"/>
        <v>0</v>
      </c>
      <c r="AO20" s="4">
        <f t="shared" si="14"/>
        <v>0</v>
      </c>
    </row>
    <row r="21" spans="1:41" ht="20.100000000000001" customHeight="1">
      <c r="A21" s="3"/>
      <c r="B21" s="3"/>
      <c r="C21" s="4"/>
      <c r="D21" s="4"/>
      <c r="E21" s="4">
        <f t="shared" si="0"/>
        <v>0</v>
      </c>
      <c r="F21" s="4"/>
      <c r="G21" s="4"/>
      <c r="H21" s="4">
        <f t="shared" si="1"/>
        <v>0</v>
      </c>
      <c r="I21" s="4"/>
      <c r="J21" s="4"/>
      <c r="K21" s="4">
        <f t="shared" si="2"/>
        <v>0</v>
      </c>
      <c r="L21" s="4"/>
      <c r="M21" s="4"/>
      <c r="N21" s="4">
        <f t="shared" si="3"/>
        <v>0</v>
      </c>
      <c r="O21" s="4"/>
      <c r="P21" s="3"/>
      <c r="Q21" s="4">
        <f t="shared" si="4"/>
        <v>0</v>
      </c>
      <c r="R21" s="3"/>
      <c r="S21" s="3"/>
      <c r="T21" s="4">
        <f t="shared" si="5"/>
        <v>0</v>
      </c>
      <c r="U21" s="3"/>
      <c r="V21" s="3"/>
      <c r="W21" s="4">
        <f t="shared" si="6"/>
        <v>0</v>
      </c>
      <c r="X21" s="3"/>
      <c r="Y21" s="3"/>
      <c r="Z21" s="4">
        <f t="shared" si="7"/>
        <v>0</v>
      </c>
      <c r="AA21" s="3"/>
      <c r="AB21" s="4"/>
      <c r="AC21" s="4">
        <f t="shared" si="8"/>
        <v>0</v>
      </c>
      <c r="AD21" s="3"/>
      <c r="AE21" s="3"/>
      <c r="AF21" s="4">
        <f t="shared" si="9"/>
        <v>0</v>
      </c>
      <c r="AG21" s="3"/>
      <c r="AH21" s="3"/>
      <c r="AI21" s="4">
        <f t="shared" si="10"/>
        <v>0</v>
      </c>
      <c r="AJ21" s="3"/>
      <c r="AK21" s="3"/>
      <c r="AL21" s="4">
        <f t="shared" si="11"/>
        <v>0</v>
      </c>
      <c r="AM21" s="4">
        <f t="shared" si="12"/>
        <v>0</v>
      </c>
      <c r="AN21" s="4">
        <f t="shared" si="13"/>
        <v>0</v>
      </c>
      <c r="AO21" s="4">
        <f t="shared" si="14"/>
        <v>0</v>
      </c>
    </row>
    <row r="22" spans="1:41" ht="20.100000000000001" customHeight="1">
      <c r="A22" s="3"/>
      <c r="B22" s="3"/>
      <c r="C22" s="4"/>
      <c r="D22" s="4"/>
      <c r="E22" s="4">
        <f t="shared" si="0"/>
        <v>0</v>
      </c>
      <c r="F22" s="4"/>
      <c r="G22" s="4"/>
      <c r="H22" s="4">
        <f t="shared" si="1"/>
        <v>0</v>
      </c>
      <c r="I22" s="4"/>
      <c r="J22" s="4"/>
      <c r="K22" s="4">
        <f t="shared" si="2"/>
        <v>0</v>
      </c>
      <c r="L22" s="4"/>
      <c r="M22" s="4"/>
      <c r="N22" s="4">
        <f t="shared" si="3"/>
        <v>0</v>
      </c>
      <c r="O22" s="4"/>
      <c r="P22" s="3"/>
      <c r="Q22" s="4">
        <f t="shared" si="4"/>
        <v>0</v>
      </c>
      <c r="R22" s="3"/>
      <c r="S22" s="3"/>
      <c r="T22" s="4">
        <f t="shared" si="5"/>
        <v>0</v>
      </c>
      <c r="U22" s="3"/>
      <c r="V22" s="3"/>
      <c r="W22" s="4">
        <f t="shared" si="6"/>
        <v>0</v>
      </c>
      <c r="X22" s="3"/>
      <c r="Y22" s="3"/>
      <c r="Z22" s="4">
        <f t="shared" si="7"/>
        <v>0</v>
      </c>
      <c r="AA22" s="3"/>
      <c r="AB22" s="3"/>
      <c r="AC22" s="4">
        <f t="shared" si="8"/>
        <v>0</v>
      </c>
      <c r="AD22" s="3"/>
      <c r="AE22" s="3"/>
      <c r="AF22" s="4">
        <f t="shared" si="9"/>
        <v>0</v>
      </c>
      <c r="AG22" s="3"/>
      <c r="AH22" s="3"/>
      <c r="AI22" s="4">
        <f t="shared" si="10"/>
        <v>0</v>
      </c>
      <c r="AJ22" s="3"/>
      <c r="AK22" s="4"/>
      <c r="AL22" s="4">
        <f t="shared" si="11"/>
        <v>0</v>
      </c>
      <c r="AM22" s="4">
        <f t="shared" si="12"/>
        <v>0</v>
      </c>
      <c r="AN22" s="4">
        <f t="shared" si="13"/>
        <v>0</v>
      </c>
      <c r="AO22" s="4">
        <f t="shared" si="14"/>
        <v>0</v>
      </c>
    </row>
    <row r="23" spans="1:41" ht="44.25" customHeight="1">
      <c r="A23" s="6"/>
      <c r="B23" s="5"/>
      <c r="C23" s="4"/>
      <c r="D23" s="4"/>
      <c r="E23" s="4">
        <f t="shared" si="0"/>
        <v>0</v>
      </c>
      <c r="F23" s="4"/>
      <c r="G23" s="4"/>
      <c r="H23" s="4">
        <f t="shared" si="1"/>
        <v>0</v>
      </c>
      <c r="I23" s="4"/>
      <c r="J23" s="4"/>
      <c r="K23" s="4">
        <f t="shared" si="2"/>
        <v>0</v>
      </c>
      <c r="L23" s="4"/>
      <c r="M23" s="4"/>
      <c r="N23" s="4">
        <f t="shared" si="3"/>
        <v>0</v>
      </c>
      <c r="O23" s="4"/>
      <c r="P23" s="3"/>
      <c r="Q23" s="4">
        <f t="shared" si="4"/>
        <v>0</v>
      </c>
      <c r="R23" s="3"/>
      <c r="S23" s="3"/>
      <c r="T23" s="4">
        <f t="shared" si="5"/>
        <v>0</v>
      </c>
      <c r="U23" s="3"/>
      <c r="V23" s="3"/>
      <c r="W23" s="4">
        <f t="shared" si="6"/>
        <v>0</v>
      </c>
      <c r="X23" s="3"/>
      <c r="Y23" s="3"/>
      <c r="Z23" s="4">
        <f t="shared" si="7"/>
        <v>0</v>
      </c>
      <c r="AA23" s="3"/>
      <c r="AB23" s="4"/>
      <c r="AC23" s="4">
        <f t="shared" si="8"/>
        <v>0</v>
      </c>
      <c r="AD23" s="3"/>
      <c r="AE23" s="3"/>
      <c r="AF23" s="4">
        <f t="shared" si="9"/>
        <v>0</v>
      </c>
      <c r="AG23" s="3"/>
      <c r="AH23" s="3"/>
      <c r="AI23" s="4">
        <f t="shared" si="10"/>
        <v>0</v>
      </c>
      <c r="AJ23" s="3"/>
      <c r="AK23" s="3"/>
      <c r="AL23" s="4">
        <f t="shared" si="11"/>
        <v>0</v>
      </c>
      <c r="AM23" s="4">
        <f t="shared" si="12"/>
        <v>0</v>
      </c>
      <c r="AN23" s="4">
        <f t="shared" si="13"/>
        <v>0</v>
      </c>
      <c r="AO23" s="4">
        <f t="shared" si="14"/>
        <v>0</v>
      </c>
    </row>
    <row r="24" spans="1:41" ht="20.100000000000001" customHeight="1">
      <c r="A24" s="3"/>
      <c r="B24" s="3"/>
      <c r="C24" s="4"/>
      <c r="D24" s="4"/>
      <c r="E24" s="4">
        <f t="shared" si="0"/>
        <v>0</v>
      </c>
      <c r="F24" s="4"/>
      <c r="G24" s="4"/>
      <c r="H24" s="4">
        <f t="shared" si="1"/>
        <v>0</v>
      </c>
      <c r="I24" s="4"/>
      <c r="J24" s="4"/>
      <c r="K24" s="4">
        <f t="shared" si="2"/>
        <v>0</v>
      </c>
      <c r="L24" s="4"/>
      <c r="M24" s="4"/>
      <c r="N24" s="4">
        <f t="shared" si="3"/>
        <v>0</v>
      </c>
      <c r="O24" s="4"/>
      <c r="P24" s="3"/>
      <c r="Q24" s="4">
        <f t="shared" si="4"/>
        <v>0</v>
      </c>
      <c r="R24" s="3"/>
      <c r="S24" s="3"/>
      <c r="T24" s="4">
        <f t="shared" si="5"/>
        <v>0</v>
      </c>
      <c r="U24" s="3"/>
      <c r="V24" s="3"/>
      <c r="W24" s="4">
        <f t="shared" si="6"/>
        <v>0</v>
      </c>
      <c r="X24" s="3"/>
      <c r="Y24" s="3"/>
      <c r="Z24" s="4">
        <f t="shared" si="7"/>
        <v>0</v>
      </c>
      <c r="AA24" s="3"/>
      <c r="AB24" s="4"/>
      <c r="AC24" s="4">
        <f t="shared" si="8"/>
        <v>0</v>
      </c>
      <c r="AD24" s="3"/>
      <c r="AE24" s="3"/>
      <c r="AF24" s="4">
        <f t="shared" si="9"/>
        <v>0</v>
      </c>
      <c r="AG24" s="3"/>
      <c r="AH24" s="3"/>
      <c r="AI24" s="4">
        <f t="shared" si="10"/>
        <v>0</v>
      </c>
      <c r="AJ24" s="3"/>
      <c r="AK24" s="3"/>
      <c r="AL24" s="4">
        <f t="shared" si="11"/>
        <v>0</v>
      </c>
      <c r="AM24" s="4">
        <f t="shared" si="12"/>
        <v>0</v>
      </c>
      <c r="AN24" s="4">
        <f t="shared" si="13"/>
        <v>0</v>
      </c>
      <c r="AO24" s="4">
        <f t="shared" si="14"/>
        <v>0</v>
      </c>
    </row>
    <row r="25" spans="1:41" ht="34.5" customHeight="1">
      <c r="A25" s="6"/>
      <c r="B25" s="5"/>
      <c r="C25" s="4"/>
      <c r="D25" s="4"/>
      <c r="E25" s="4">
        <f t="shared" si="0"/>
        <v>0</v>
      </c>
      <c r="F25" s="4"/>
      <c r="G25" s="4"/>
      <c r="H25" s="4">
        <f t="shared" si="1"/>
        <v>0</v>
      </c>
      <c r="I25" s="4"/>
      <c r="J25" s="4"/>
      <c r="K25" s="4">
        <f t="shared" si="2"/>
        <v>0</v>
      </c>
      <c r="L25" s="4"/>
      <c r="M25" s="4"/>
      <c r="N25" s="4">
        <f t="shared" si="3"/>
        <v>0</v>
      </c>
      <c r="O25" s="4"/>
      <c r="P25" s="3"/>
      <c r="Q25" s="4">
        <f t="shared" si="4"/>
        <v>0</v>
      </c>
      <c r="R25" s="3"/>
      <c r="S25" s="3"/>
      <c r="T25" s="4">
        <f t="shared" si="5"/>
        <v>0</v>
      </c>
      <c r="U25" s="3"/>
      <c r="V25" s="3"/>
      <c r="W25" s="4">
        <f t="shared" si="6"/>
        <v>0</v>
      </c>
      <c r="X25" s="3"/>
      <c r="Y25" s="3"/>
      <c r="Z25" s="4">
        <f t="shared" si="7"/>
        <v>0</v>
      </c>
      <c r="AA25" s="3"/>
      <c r="AB25" s="4"/>
      <c r="AC25" s="4">
        <f t="shared" si="8"/>
        <v>0</v>
      </c>
      <c r="AD25" s="3"/>
      <c r="AE25" s="3"/>
      <c r="AF25" s="4">
        <f t="shared" si="9"/>
        <v>0</v>
      </c>
      <c r="AG25" s="3"/>
      <c r="AH25" s="3"/>
      <c r="AI25" s="4">
        <f t="shared" si="10"/>
        <v>0</v>
      </c>
      <c r="AJ25" s="3"/>
      <c r="AK25" s="3"/>
      <c r="AL25" s="4">
        <f t="shared" si="11"/>
        <v>0</v>
      </c>
      <c r="AM25" s="4">
        <f t="shared" si="12"/>
        <v>0</v>
      </c>
      <c r="AN25" s="4">
        <f t="shared" si="13"/>
        <v>0</v>
      </c>
      <c r="AO25" s="4">
        <f t="shared" si="14"/>
        <v>0</v>
      </c>
    </row>
    <row r="26" spans="1:41" ht="20.100000000000001" customHeight="1">
      <c r="A26" s="3"/>
      <c r="B26" s="3"/>
      <c r="C26" s="4"/>
      <c r="D26" s="4"/>
      <c r="E26" s="4">
        <f t="shared" si="0"/>
        <v>0</v>
      </c>
      <c r="F26" s="4"/>
      <c r="G26" s="4"/>
      <c r="H26" s="4">
        <f t="shared" si="1"/>
        <v>0</v>
      </c>
      <c r="I26" s="4"/>
      <c r="J26" s="4"/>
      <c r="K26" s="4">
        <f t="shared" si="2"/>
        <v>0</v>
      </c>
      <c r="L26" s="4"/>
      <c r="M26" s="4"/>
      <c r="N26" s="4">
        <f t="shared" si="3"/>
        <v>0</v>
      </c>
      <c r="O26" s="4"/>
      <c r="P26" s="3"/>
      <c r="Q26" s="4">
        <f t="shared" si="4"/>
        <v>0</v>
      </c>
      <c r="R26" s="3"/>
      <c r="S26" s="3"/>
      <c r="T26" s="4">
        <f t="shared" si="5"/>
        <v>0</v>
      </c>
      <c r="U26" s="3"/>
      <c r="V26" s="3"/>
      <c r="W26" s="4">
        <f t="shared" si="6"/>
        <v>0</v>
      </c>
      <c r="X26" s="3"/>
      <c r="Y26" s="3"/>
      <c r="Z26" s="4">
        <f t="shared" si="7"/>
        <v>0</v>
      </c>
      <c r="AA26" s="3"/>
      <c r="AB26" s="4"/>
      <c r="AC26" s="4">
        <f t="shared" si="8"/>
        <v>0</v>
      </c>
      <c r="AD26" s="3"/>
      <c r="AE26" s="3"/>
      <c r="AF26" s="4">
        <f t="shared" si="9"/>
        <v>0</v>
      </c>
      <c r="AG26" s="3"/>
      <c r="AH26" s="3"/>
      <c r="AI26" s="4">
        <f t="shared" si="10"/>
        <v>0</v>
      </c>
      <c r="AJ26" s="3"/>
      <c r="AK26" s="3"/>
      <c r="AL26" s="4">
        <f t="shared" si="11"/>
        <v>0</v>
      </c>
      <c r="AM26" s="4">
        <f t="shared" si="12"/>
        <v>0</v>
      </c>
      <c r="AN26" s="4">
        <f t="shared" si="13"/>
        <v>0</v>
      </c>
      <c r="AO26" s="4">
        <f t="shared" si="14"/>
        <v>0</v>
      </c>
    </row>
    <row r="27" spans="1:41" ht="20.100000000000001" customHeight="1">
      <c r="A27" s="3"/>
      <c r="B27" s="3"/>
      <c r="C27" s="4"/>
      <c r="D27" s="4"/>
      <c r="E27" s="4">
        <f t="shared" si="0"/>
        <v>0</v>
      </c>
      <c r="F27" s="4"/>
      <c r="G27" s="4"/>
      <c r="H27" s="4">
        <f t="shared" si="1"/>
        <v>0</v>
      </c>
      <c r="I27" s="4"/>
      <c r="J27" s="4"/>
      <c r="K27" s="4">
        <f t="shared" si="2"/>
        <v>0</v>
      </c>
      <c r="L27" s="4"/>
      <c r="M27" s="4"/>
      <c r="N27" s="4">
        <f t="shared" si="3"/>
        <v>0</v>
      </c>
      <c r="O27" s="4"/>
      <c r="P27" s="3"/>
      <c r="Q27" s="4">
        <f t="shared" si="4"/>
        <v>0</v>
      </c>
      <c r="R27" s="3"/>
      <c r="S27" s="3"/>
      <c r="T27" s="4">
        <f t="shared" si="5"/>
        <v>0</v>
      </c>
      <c r="U27" s="3"/>
      <c r="V27" s="3"/>
      <c r="W27" s="4">
        <f t="shared" si="6"/>
        <v>0</v>
      </c>
      <c r="X27" s="3"/>
      <c r="Y27" s="3"/>
      <c r="Z27" s="4">
        <f t="shared" si="7"/>
        <v>0</v>
      </c>
      <c r="AA27" s="3"/>
      <c r="AB27" s="4"/>
      <c r="AC27" s="4">
        <f t="shared" si="8"/>
        <v>0</v>
      </c>
      <c r="AD27" s="3"/>
      <c r="AE27" s="3"/>
      <c r="AF27" s="4">
        <f t="shared" si="9"/>
        <v>0</v>
      </c>
      <c r="AG27" s="3"/>
      <c r="AH27" s="3"/>
      <c r="AI27" s="4">
        <f t="shared" si="10"/>
        <v>0</v>
      </c>
      <c r="AJ27" s="3"/>
      <c r="AK27" s="3"/>
      <c r="AL27" s="4">
        <f t="shared" si="11"/>
        <v>0</v>
      </c>
      <c r="AM27" s="4">
        <f t="shared" si="12"/>
        <v>0</v>
      </c>
      <c r="AN27" s="4">
        <f t="shared" si="13"/>
        <v>0</v>
      </c>
      <c r="AO27" s="4">
        <f t="shared" si="14"/>
        <v>0</v>
      </c>
    </row>
    <row r="28" spans="1:41" ht="33.75" customHeight="1">
      <c r="A28" s="7"/>
      <c r="B28" s="7"/>
      <c r="C28" s="8">
        <f>SUM(C10:C26)</f>
        <v>0</v>
      </c>
      <c r="D28" s="8">
        <f t="shared" ref="D28:AO28" si="15">SUM(D10:D26)</f>
        <v>0</v>
      </c>
      <c r="E28" s="8">
        <f t="shared" si="15"/>
        <v>0</v>
      </c>
      <c r="F28" s="8">
        <f t="shared" si="15"/>
        <v>0</v>
      </c>
      <c r="G28" s="8">
        <f t="shared" si="15"/>
        <v>0</v>
      </c>
      <c r="H28" s="8">
        <f t="shared" si="15"/>
        <v>0</v>
      </c>
      <c r="I28" s="8">
        <f t="shared" si="15"/>
        <v>0</v>
      </c>
      <c r="J28" s="8">
        <f t="shared" si="15"/>
        <v>0</v>
      </c>
      <c r="K28" s="8">
        <f>J28+I28</f>
        <v>0</v>
      </c>
      <c r="L28" s="8">
        <f t="shared" si="15"/>
        <v>0</v>
      </c>
      <c r="M28" s="8"/>
      <c r="N28" s="8">
        <f>M28+L28</f>
        <v>0</v>
      </c>
      <c r="O28" s="8">
        <f t="shared" si="15"/>
        <v>0</v>
      </c>
      <c r="P28" s="8">
        <f t="shared" si="15"/>
        <v>0</v>
      </c>
      <c r="Q28" s="8">
        <f>P28+O28</f>
        <v>0</v>
      </c>
      <c r="R28" s="8">
        <f t="shared" si="15"/>
        <v>0</v>
      </c>
      <c r="S28" s="8">
        <f t="shared" si="15"/>
        <v>0</v>
      </c>
      <c r="T28" s="8">
        <f>S28+R28</f>
        <v>0</v>
      </c>
      <c r="U28" s="8">
        <f t="shared" si="15"/>
        <v>0</v>
      </c>
      <c r="V28" s="8">
        <f t="shared" si="15"/>
        <v>0</v>
      </c>
      <c r="W28" s="8">
        <f>V28+U28</f>
        <v>0</v>
      </c>
      <c r="X28" s="8">
        <f t="shared" si="15"/>
        <v>0</v>
      </c>
      <c r="Y28" s="8">
        <f t="shared" si="15"/>
        <v>0</v>
      </c>
      <c r="Z28" s="8">
        <f t="shared" si="7"/>
        <v>0</v>
      </c>
      <c r="AA28" s="8">
        <f t="shared" si="15"/>
        <v>0</v>
      </c>
      <c r="AB28" s="8">
        <f t="shared" si="15"/>
        <v>0</v>
      </c>
      <c r="AC28" s="8">
        <f>AB28+AA28</f>
        <v>0</v>
      </c>
      <c r="AD28" s="8">
        <f t="shared" si="15"/>
        <v>0</v>
      </c>
      <c r="AE28" s="8">
        <f t="shared" si="15"/>
        <v>0</v>
      </c>
      <c r="AF28" s="8">
        <f>AE28+AD28</f>
        <v>0</v>
      </c>
      <c r="AG28" s="8">
        <f t="shared" si="15"/>
        <v>0</v>
      </c>
      <c r="AH28" s="8">
        <f t="shared" si="15"/>
        <v>0</v>
      </c>
      <c r="AI28" s="8">
        <f>AH28+AG28</f>
        <v>0</v>
      </c>
      <c r="AJ28" s="8">
        <f t="shared" si="15"/>
        <v>0</v>
      </c>
      <c r="AK28" s="8">
        <f t="shared" si="15"/>
        <v>0</v>
      </c>
      <c r="AL28" s="8">
        <f>AK28+AJ28</f>
        <v>0</v>
      </c>
      <c r="AM28" s="8">
        <f t="shared" si="15"/>
        <v>0</v>
      </c>
      <c r="AN28" s="8">
        <f t="shared" si="15"/>
        <v>0</v>
      </c>
      <c r="AO28" s="8">
        <f t="shared" si="15"/>
        <v>0</v>
      </c>
    </row>
    <row r="31" spans="1:41" ht="17.399999999999999">
      <c r="A31" s="12" t="s">
        <v>38</v>
      </c>
      <c r="B31" s="12"/>
      <c r="C31" s="2"/>
      <c r="D31" s="2"/>
      <c r="E31" s="2"/>
      <c r="F31" s="2"/>
      <c r="G31" s="2"/>
      <c r="H31" s="2"/>
      <c r="I31" s="2"/>
    </row>
    <row r="33" spans="1:1">
      <c r="A33" t="s">
        <v>39</v>
      </c>
    </row>
  </sheetData>
  <mergeCells count="17">
    <mergeCell ref="AM8:AO8"/>
    <mergeCell ref="U8:W8"/>
    <mergeCell ref="X8:Z8"/>
    <mergeCell ref="AA8:AC8"/>
    <mergeCell ref="AD8:AF8"/>
    <mergeCell ref="AG8:AI8"/>
    <mergeCell ref="AJ8:AL8"/>
    <mergeCell ref="A5:O5"/>
    <mergeCell ref="A6:O6"/>
    <mergeCell ref="A7:T7"/>
    <mergeCell ref="A8:B8"/>
    <mergeCell ref="C8:E8"/>
    <mergeCell ref="F8:H8"/>
    <mergeCell ref="I8:K8"/>
    <mergeCell ref="L8:N8"/>
    <mergeCell ref="O8:Q8"/>
    <mergeCell ref="R8:T8"/>
  </mergeCells>
  <phoneticPr fontId="14" type="noConversion"/>
  <pageMargins left="0.78740157480314965" right="0.39370078740157483" top="0.78740157480314965" bottom="0.78740157480314965" header="0" footer="0"/>
  <pageSetup paperSize="9" scale="55" orientation="landscape" horizontalDpi="180" verticalDpi="18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27</vt:lpstr>
      <vt:lpstr>37</vt:lpstr>
      <vt:lpstr>38</vt:lpstr>
      <vt:lpstr>40</vt:lpstr>
      <vt:lpstr>42</vt:lpstr>
      <vt:lpstr>45</vt:lpstr>
      <vt:lpstr>48</vt:lpstr>
      <vt:lpstr>50</vt:lpstr>
      <vt:lpstr>55</vt:lpstr>
      <vt:lpstr>61</vt:lpstr>
      <vt:lpstr>76</vt:lpstr>
      <vt:lpstr>КЛ 77</vt:lpstr>
      <vt:lpstr>78</vt:lpstr>
      <vt:lpstr>КТЛ</vt:lpstr>
      <vt:lpstr>83</vt:lpstr>
      <vt:lpstr>110</vt:lpstr>
      <vt:lpstr>116</vt:lpstr>
      <vt:lpstr>117</vt:lpstr>
      <vt:lpstr>1</vt:lpstr>
      <vt:lpstr>Разом</vt:lpstr>
      <vt:lpstr>2</vt:lpstr>
      <vt:lpstr>3</vt:lpstr>
      <vt:lpstr>Лист1</vt:lpstr>
      <vt:lpstr>Разом!Область_печати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2022-05-23T08:08:29Z</cp:lastPrinted>
  <dcterms:created xsi:type="dcterms:W3CDTF">2006-09-28T05:33:49Z</dcterms:created>
  <dcterms:modified xsi:type="dcterms:W3CDTF">2026-10-09T06:23:54Z</dcterms:modified>
</cp:coreProperties>
</file>